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X:\Public Health Programs\Air Quality\AQ Users\hajenifuja\MAJOR TITLE V OP\US STEEL - ET WORKS\Title V\TVOP Renewal-2022\"/>
    </mc:Choice>
  </mc:AlternateContent>
  <xr:revisionPtr revIDLastSave="0" documentId="13_ncr:1_{DB8B1995-44D8-4005-9EFE-8586A221A8B7}" xr6:coauthVersionLast="47" xr6:coauthVersionMax="47" xr10:uidLastSave="{00000000-0000-0000-0000-000000000000}"/>
  <bookViews>
    <workbookView xWindow="-120" yWindow="-120" windowWidth="29040" windowHeight="17640" tabRatio="896" firstSheet="16" activeTab="17" xr2:uid="{00000000-000D-0000-FFFF-FFFF00000000}"/>
  </bookViews>
  <sheets>
    <sheet name="Key Inputs" sheetId="18" r:id="rId1"/>
    <sheet name="1. Blast Furnace #1 (P001a)" sheetId="29" r:id="rId2"/>
    <sheet name="2. BF #1 Stoves (P001b)" sheetId="19" r:id="rId3"/>
    <sheet name="3. BFG Flare (P001c)" sheetId="20" r:id="rId4"/>
    <sheet name="4. Blast Furnace #3 (P002a)" sheetId="81" r:id="rId5"/>
    <sheet name="5. BF #3 Stoves (P002b)" sheetId="98" r:id="rId6"/>
    <sheet name="6. BOP Mixer BH (P003-1,2,3,4)" sheetId="24" r:id="rId7"/>
    <sheet name="7. BOP SEC BH (P003-5,6,8)" sheetId="85" r:id="rId8"/>
    <sheet name="8. BOP Scrubber (P003-7 &amp; 9)" sheetId="86" r:id="rId9"/>
    <sheet name="9. BOP Flux Handling (P003-10)" sheetId="87" r:id="rId10"/>
    <sheet name="10. BOP Combustion (P003-11)" sheetId="84" r:id="rId11"/>
    <sheet name="11. LMF (P004)" sheetId="31" r:id="rId12"/>
    <sheet name="12. Caster (P005)" sheetId="46" r:id="rId13"/>
    <sheet name="13. Vacuum Degasser (P006)" sheetId="42" r:id="rId14"/>
    <sheet name="14. Boilers 1-3 (B001-003)" sheetId="88" r:id="rId15"/>
    <sheet name="15. BF Slag Pits (F001)" sheetId="25" r:id="rId16"/>
    <sheet name="16. Plant Roads (F002)" sheetId="89" r:id="rId17"/>
    <sheet name="17. Cooling Towers" sheetId="91" r:id="rId18"/>
    <sheet name="Sheet1" sheetId="102" r:id="rId19"/>
    <sheet name="18. BF Misc. Fugitives" sheetId="95" r:id="rId20"/>
    <sheet name="19. BOP Misc. Fugitives" sheetId="90" r:id="rId21"/>
    <sheet name="20. Storage Piles" sheetId="92" r:id="rId22"/>
    <sheet name="21. Paints &amp; Solvents" sheetId="93" r:id="rId23"/>
    <sheet name="22. Misc. NG Combustion" sheetId="100" r:id="rId24"/>
    <sheet name="23. Emergency Generators" sheetId="101" r:id="rId25"/>
    <sheet name="A. Source Summary" sheetId="50" r:id="rId26"/>
    <sheet name="B. Site-wide Summary" sheetId="51" r:id="rId27"/>
    <sheet name="Reference--&gt;" sheetId="97" r:id="rId28"/>
    <sheet name="EF Dev Tests" sheetId="96" r:id="rId29"/>
    <sheet name="ET GHG EFs" sheetId="99" r:id="rId30"/>
  </sheets>
  <externalReferences>
    <externalReference r:id="rId31"/>
    <externalReference r:id="rId32"/>
  </externalReferences>
  <definedNames>
    <definedName name="__123Graph_B" localSheetId="14" hidden="1">'[1]calc-mat stor'!#REF!</definedName>
    <definedName name="__123Graph_B" localSheetId="15" hidden="1">'[1]calc-mat stor'!#REF!</definedName>
    <definedName name="__123Graph_B" localSheetId="16" hidden="1">'[1]calc-mat stor'!#REF!</definedName>
    <definedName name="__123Graph_B" localSheetId="17" hidden="1">'[1]calc-mat stor'!#REF!</definedName>
    <definedName name="__123Graph_B" localSheetId="19" hidden="1">'[1]calc-mat stor'!#REF!</definedName>
    <definedName name="__123Graph_B" localSheetId="20" hidden="1">'[1]calc-mat stor'!#REF!</definedName>
    <definedName name="__123Graph_B" localSheetId="2" hidden="1">'[1]calc-mat stor'!#REF!</definedName>
    <definedName name="__123Graph_B" localSheetId="21" hidden="1">'[1]calc-mat stor'!#REF!</definedName>
    <definedName name="__123Graph_B" localSheetId="22" hidden="1">'[1]calc-mat stor'!#REF!</definedName>
    <definedName name="__123Graph_B" localSheetId="5" hidden="1">'[1]calc-mat stor'!#REF!</definedName>
    <definedName name="__123Graph_B" hidden="1">'[1]calc-mat stor'!#REF!</definedName>
    <definedName name="_Order1" hidden="1">255</definedName>
    <definedName name="_Order2" hidden="1">255</definedName>
    <definedName name="anscount" hidden="1">2</definedName>
    <definedName name="FactorASummaryWeightedMultiforeCognos_List1_List1_1">'ET GHG EFs'!$B$3:$V$81</definedName>
    <definedName name="_xlnm.Print_Area" localSheetId="1">'1. Blast Furnace #1 (P001a)'!$A$1:$G$218</definedName>
    <definedName name="_xlnm.Print_Area" localSheetId="10">'10. BOP Combustion (P003-11)'!$A$1:$G$113</definedName>
    <definedName name="_xlnm.Print_Area" localSheetId="11">'11. LMF (P004)'!$A$1:$G$41</definedName>
    <definedName name="_xlnm.Print_Area" localSheetId="12">'12. Caster (P005)'!$A$1:$G$138</definedName>
    <definedName name="_xlnm.Print_Area" localSheetId="13">'13. Vacuum Degasser (P006)'!$A$1:$G$47</definedName>
    <definedName name="_xlnm.Print_Area" localSheetId="14">'14. Boilers 1-3 (B001-003)'!$A$1:$G$170</definedName>
    <definedName name="_xlnm.Print_Area" localSheetId="15">'15. BF Slag Pits (F001)'!$A$1:$G$46</definedName>
    <definedName name="_xlnm.Print_Area" localSheetId="16">'16. Plant Roads (F002)'!$A$1:$M$148</definedName>
    <definedName name="_xlnm.Print_Area" localSheetId="17">'17. Cooling Towers'!$A$1:$M$89</definedName>
    <definedName name="_xlnm.Print_Area" localSheetId="19">'18. BF Misc. Fugitives'!$A$1:$M$47</definedName>
    <definedName name="_xlnm.Print_Area" localSheetId="20">'19. BOP Misc. Fugitives'!$A$1:$G$74</definedName>
    <definedName name="_xlnm.Print_Area" localSheetId="2">'2. BF #1 Stoves (P001b)'!$A$1:$G$161</definedName>
    <definedName name="_xlnm.Print_Area" localSheetId="21">'20. Storage Piles'!$A$1:$G$28</definedName>
    <definedName name="_xlnm.Print_Area" localSheetId="22">'21. Paints &amp; Solvents'!$A$1:$G$47</definedName>
    <definedName name="_xlnm.Print_Area" localSheetId="23">'22. Misc. NG Combustion'!$A$1:$G$80</definedName>
    <definedName name="_xlnm.Print_Area" localSheetId="24">'23. Emergency Generators'!$A$1:$G$51</definedName>
    <definedName name="_xlnm.Print_Area" localSheetId="3">'3. BFG Flare (P001c)'!$A$1:$G$53</definedName>
    <definedName name="_xlnm.Print_Area" localSheetId="4">'4. Blast Furnace #3 (P002a)'!$A$1:$G$218</definedName>
    <definedName name="_xlnm.Print_Area" localSheetId="5">'5. BF #3 Stoves (P002b)'!$A$1:$G$161</definedName>
    <definedName name="_xlnm.Print_Area" localSheetId="6">'6. BOP Mixer BH (P003-1,2,3,4)'!$A$1:$G$41</definedName>
    <definedName name="_xlnm.Print_Area" localSheetId="7">'7. BOP SEC BH (P003-5,6,8)'!$A$1:$G$48</definedName>
    <definedName name="_xlnm.Print_Area" localSheetId="8">'8. BOP Scrubber (P003-7 &amp; 9)'!$A$1:$G$49</definedName>
    <definedName name="_xlnm.Print_Area" localSheetId="9">'9. BOP Flux Handling (P003-10)'!$A$1:$G$40</definedName>
    <definedName name="_xlnm.Print_Area" localSheetId="25">'A. Source Summary'!$A$1:$Y$64</definedName>
    <definedName name="_xlnm.Print_Area" localSheetId="26">'B. Site-wide Summary'!$A$1:$E$26</definedName>
    <definedName name="_xlnm.Print_Area" localSheetId="0">'Key Inputs'!$A$1:$J$66</definedName>
    <definedName name="_xlnm.Print_Titles" localSheetId="1">'1. Blast Furnace #1 (P001a)'!$1:$20</definedName>
    <definedName name="_xlnm.Print_Titles" localSheetId="14">'14. Boilers 1-3 (B001-003)'!$1:$18</definedName>
    <definedName name="_xlnm.Print_Titles" localSheetId="2">'2. BF #1 Stoves (P001b)'!$1:$18</definedName>
    <definedName name="_xlnm.Print_Titles" localSheetId="5">'5. BF #3 Stoves (P002b)'!$1:$18</definedName>
    <definedName name="_xlnm.Print_Titles" localSheetId="25">'A. Source Summary'!$B:$C</definedName>
    <definedName name="sencount" hidden="1">2</definedName>
    <definedName name="test" localSheetId="14" hidden="1">{"Detailed",#N/A,FALSE,"GAS-COMB";"Summary",#N/A,FALSE,"GAS-COMB"}</definedName>
    <definedName name="test" localSheetId="15" hidden="1">{"Detailed",#N/A,FALSE,"GAS-COMB";"Summary",#N/A,FALSE,"GAS-COMB"}</definedName>
    <definedName name="test" localSheetId="16" hidden="1">{"Detailed",#N/A,FALSE,"GAS-COMB";"Summary",#N/A,FALSE,"GAS-COMB"}</definedName>
    <definedName name="test" localSheetId="17" hidden="1">{"Detailed",#N/A,FALSE,"GAS-COMB";"Summary",#N/A,FALSE,"GAS-COMB"}</definedName>
    <definedName name="test" localSheetId="19" hidden="1">{"Detailed",#N/A,FALSE,"GAS-COMB";"Summary",#N/A,FALSE,"GAS-COMB"}</definedName>
    <definedName name="test" localSheetId="20" hidden="1">{"Detailed",#N/A,FALSE,"GAS-COMB";"Summary",#N/A,FALSE,"GAS-COMB"}</definedName>
    <definedName name="test" localSheetId="2" hidden="1">{"Detailed",#N/A,FALSE,"GAS-COMB";"Summary",#N/A,FALSE,"GAS-COMB"}</definedName>
    <definedName name="test" localSheetId="21" hidden="1">{"Detailed",#N/A,FALSE,"GAS-COMB";"Summary",#N/A,FALSE,"GAS-COMB"}</definedName>
    <definedName name="test" localSheetId="22" hidden="1">{"Detailed",#N/A,FALSE,"GAS-COMB";"Summary",#N/A,FALSE,"GAS-COMB"}</definedName>
    <definedName name="test" localSheetId="23" hidden="1">{"Detailed",#N/A,FALSE,"GAS-COMB";"Summary",#N/A,FALSE,"GAS-COMB"}</definedName>
    <definedName name="test" localSheetId="24" hidden="1">{"Detailed",#N/A,FALSE,"GAS-COMB";"Summary",#N/A,FALSE,"GAS-COMB"}</definedName>
    <definedName name="test" localSheetId="3" hidden="1">{"Detailed",#N/A,FALSE,"GAS-COMB";"Summary",#N/A,FALSE,"GAS-COMB"}</definedName>
    <definedName name="test" localSheetId="5" hidden="1">{"Detailed",#N/A,FALSE,"GAS-COMB";"Summary",#N/A,FALSE,"GAS-COMB"}</definedName>
    <definedName name="test" localSheetId="6" hidden="1">{"Detailed",#N/A,FALSE,"GAS-COMB";"Summary",#N/A,FALSE,"GAS-COMB"}</definedName>
    <definedName name="test" localSheetId="7" hidden="1">{"Detailed",#N/A,FALSE,"GAS-COMB";"Summary",#N/A,FALSE,"GAS-COMB"}</definedName>
    <definedName name="test" localSheetId="8" hidden="1">{"Detailed",#N/A,FALSE,"GAS-COMB";"Summary",#N/A,FALSE,"GAS-COMB"}</definedName>
    <definedName name="test" localSheetId="9" hidden="1">{"Detailed",#N/A,FALSE,"GAS-COMB";"Summary",#N/A,FALSE,"GAS-COMB"}</definedName>
    <definedName name="test" hidden="1">{"Detailed",#N/A,FALSE,"GAS-COMB";"Summary",#N/A,FALSE,"GAS-COMB"}</definedName>
    <definedName name="testing" localSheetId="14" hidden="1">{"Detailed",#N/A,FALSE,"GAS-COMB";"Summary",#N/A,FALSE,"GAS-COMB"}</definedName>
    <definedName name="testing" localSheetId="15" hidden="1">{"Detailed",#N/A,FALSE,"GAS-COMB";"Summary",#N/A,FALSE,"GAS-COMB"}</definedName>
    <definedName name="testing" localSheetId="16" hidden="1">{"Detailed",#N/A,FALSE,"GAS-COMB";"Summary",#N/A,FALSE,"GAS-COMB"}</definedName>
    <definedName name="testing" localSheetId="17" hidden="1">{"Detailed",#N/A,FALSE,"GAS-COMB";"Summary",#N/A,FALSE,"GAS-COMB"}</definedName>
    <definedName name="testing" localSheetId="19" hidden="1">{"Detailed",#N/A,FALSE,"GAS-COMB";"Summary",#N/A,FALSE,"GAS-COMB"}</definedName>
    <definedName name="testing" localSheetId="20" hidden="1">{"Detailed",#N/A,FALSE,"GAS-COMB";"Summary",#N/A,FALSE,"GAS-COMB"}</definedName>
    <definedName name="testing" localSheetId="2" hidden="1">{"Detailed",#N/A,FALSE,"GAS-COMB";"Summary",#N/A,FALSE,"GAS-COMB"}</definedName>
    <definedName name="testing" localSheetId="21" hidden="1">{"Detailed",#N/A,FALSE,"GAS-COMB";"Summary",#N/A,FALSE,"GAS-COMB"}</definedName>
    <definedName name="testing" localSheetId="22" hidden="1">{"Detailed",#N/A,FALSE,"GAS-COMB";"Summary",#N/A,FALSE,"GAS-COMB"}</definedName>
    <definedName name="testing" localSheetId="23" hidden="1">{"Detailed",#N/A,FALSE,"GAS-COMB";"Summary",#N/A,FALSE,"GAS-COMB"}</definedName>
    <definedName name="testing" localSheetId="24" hidden="1">{"Detailed",#N/A,FALSE,"GAS-COMB";"Summary",#N/A,FALSE,"GAS-COMB"}</definedName>
    <definedName name="testing" localSheetId="3" hidden="1">{"Detailed",#N/A,FALSE,"GAS-COMB";"Summary",#N/A,FALSE,"GAS-COMB"}</definedName>
    <definedName name="testing" localSheetId="5" hidden="1">{"Detailed",#N/A,FALSE,"GAS-COMB";"Summary",#N/A,FALSE,"GAS-COMB"}</definedName>
    <definedName name="testing" localSheetId="6" hidden="1">{"Detailed",#N/A,FALSE,"GAS-COMB";"Summary",#N/A,FALSE,"GAS-COMB"}</definedName>
    <definedName name="testing" localSheetId="7" hidden="1">{"Detailed",#N/A,FALSE,"GAS-COMB";"Summary",#N/A,FALSE,"GAS-COMB"}</definedName>
    <definedName name="testing" localSheetId="8" hidden="1">{"Detailed",#N/A,FALSE,"GAS-COMB";"Summary",#N/A,FALSE,"GAS-COMB"}</definedName>
    <definedName name="testing" localSheetId="9" hidden="1">{"Detailed",#N/A,FALSE,"GAS-COMB";"Summary",#N/A,FALSE,"GAS-COMB"}</definedName>
    <definedName name="testing" hidden="1">{"Detailed",#N/A,FALSE,"GAS-COMB";"Summary",#N/A,FALSE,"GAS-COMB"}</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RET_ATTRIB" hidden="1">64</definedName>
    <definedName name="UNI_RET_CONF" hidden="1">32</definedName>
    <definedName name="UNI_RET_DESC" hidden="1">4</definedName>
    <definedName name="UNI_RET_END" hidden="1">16384</definedName>
    <definedName name="UNI_RET_EQUIP" hidden="1">1</definedName>
    <definedName name="UNI_RET_EVENT" hidden="1">4096</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FORMANCES1R1C6" hidden="1" xml:space="preserve">    '[2]F101 B,E,F calcs'!$F$1:$T$75</definedName>
    <definedName name="UNIFORMANCES1R2C3" localSheetId="14" hidden="1">#REF!</definedName>
    <definedName name="UNIFORMANCES1R2C3" localSheetId="15" hidden="1">#REF!</definedName>
    <definedName name="UNIFORMANCES1R2C3" localSheetId="16" hidden="1">#REF!</definedName>
    <definedName name="UNIFORMANCES1R2C3" localSheetId="17" hidden="1">#REF!</definedName>
    <definedName name="UNIFORMANCES1R2C3" localSheetId="19" hidden="1">#REF!</definedName>
    <definedName name="UNIFORMANCES1R2C3" localSheetId="20" hidden="1">#REF!</definedName>
    <definedName name="UNIFORMANCES1R2C3" localSheetId="2" hidden="1">#REF!</definedName>
    <definedName name="UNIFORMANCES1R2C3" localSheetId="21" hidden="1">#REF!</definedName>
    <definedName name="UNIFORMANCES1R2C3" localSheetId="22" hidden="1">#REF!</definedName>
    <definedName name="UNIFORMANCES1R2C3" localSheetId="23" hidden="1">#REF!</definedName>
    <definedName name="UNIFORMANCES1R2C3" localSheetId="24" hidden="1">#REF!</definedName>
    <definedName name="UNIFORMANCES1R2C3" localSheetId="5" hidden="1">#REF!</definedName>
    <definedName name="UNIFORMANCES1R2C3" hidden="1">#REF!</definedName>
    <definedName name="UNIFORMANCES1R3C4" hidden="1">#N/A</definedName>
    <definedName name="UNIFORMANCES7R10C1" localSheetId="14" hidden="1">#REF!</definedName>
    <definedName name="UNIFORMANCES7R10C1" localSheetId="15" hidden="1">#REF!</definedName>
    <definedName name="UNIFORMANCES7R10C1" localSheetId="16" hidden="1">#REF!</definedName>
    <definedName name="UNIFORMANCES7R10C1" localSheetId="17" hidden="1">#REF!</definedName>
    <definedName name="UNIFORMANCES7R10C1" localSheetId="19" hidden="1">#REF!</definedName>
    <definedName name="UNIFORMANCES7R10C1" localSheetId="20" hidden="1">#REF!</definedName>
    <definedName name="UNIFORMANCES7R10C1" localSheetId="2" hidden="1">#REF!</definedName>
    <definedName name="UNIFORMANCES7R10C1" localSheetId="21" hidden="1">#REF!</definedName>
    <definedName name="UNIFORMANCES7R10C1" localSheetId="22" hidden="1">#REF!</definedName>
    <definedName name="UNIFORMANCES7R10C1" localSheetId="23" hidden="1">#REF!</definedName>
    <definedName name="UNIFORMANCES7R10C1" localSheetId="24" hidden="1">#REF!</definedName>
    <definedName name="UNIFORMANCES7R10C1" localSheetId="5" hidden="1">#REF!</definedName>
    <definedName name="UNIFORMANCES7R10C1" hidden="1">#REF!</definedName>
    <definedName name="wrn.Appendix._.A." localSheetId="14"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15"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16"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17"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19"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20"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2"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21"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22"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23"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24"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3"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5"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6"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7"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8"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9"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14"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15"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16"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17"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19"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20"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2"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21"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22"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23"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24"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3"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5"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6"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7"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8"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9"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14" hidden="1">{#N/A,#N/A,TRUE,"(B-1) LimeKiln";#N/A,#N/A,TRUE,"(B-2) LimeSlaker";#N/A,#N/A,TRUE,"(B-3) Combo";#N/A,#N/A,TRUE,"(B-4) CRF";#N/A,#N/A,TRUE,"(B-5) SDT";#N/A,#N/A,TRUE,"(B-6) Fuel Oil";#N/A,#N/A,TRUE,"(B-7) NaturalGas"}</definedName>
    <definedName name="wrn.Appendix._.B." localSheetId="15" hidden="1">{#N/A,#N/A,TRUE,"(B-1) LimeKiln";#N/A,#N/A,TRUE,"(B-2) LimeSlaker";#N/A,#N/A,TRUE,"(B-3) Combo";#N/A,#N/A,TRUE,"(B-4) CRF";#N/A,#N/A,TRUE,"(B-5) SDT";#N/A,#N/A,TRUE,"(B-6) Fuel Oil";#N/A,#N/A,TRUE,"(B-7) NaturalGas"}</definedName>
    <definedName name="wrn.Appendix._.B." localSheetId="16" hidden="1">{#N/A,#N/A,TRUE,"(B-1) LimeKiln";#N/A,#N/A,TRUE,"(B-2) LimeSlaker";#N/A,#N/A,TRUE,"(B-3) Combo";#N/A,#N/A,TRUE,"(B-4) CRF";#N/A,#N/A,TRUE,"(B-5) SDT";#N/A,#N/A,TRUE,"(B-6) Fuel Oil";#N/A,#N/A,TRUE,"(B-7) NaturalGas"}</definedName>
    <definedName name="wrn.Appendix._.B." localSheetId="17" hidden="1">{#N/A,#N/A,TRUE,"(B-1) LimeKiln";#N/A,#N/A,TRUE,"(B-2) LimeSlaker";#N/A,#N/A,TRUE,"(B-3) Combo";#N/A,#N/A,TRUE,"(B-4) CRF";#N/A,#N/A,TRUE,"(B-5) SDT";#N/A,#N/A,TRUE,"(B-6) Fuel Oil";#N/A,#N/A,TRUE,"(B-7) NaturalGas"}</definedName>
    <definedName name="wrn.Appendix._.B." localSheetId="19" hidden="1">{#N/A,#N/A,TRUE,"(B-1) LimeKiln";#N/A,#N/A,TRUE,"(B-2) LimeSlaker";#N/A,#N/A,TRUE,"(B-3) Combo";#N/A,#N/A,TRUE,"(B-4) CRF";#N/A,#N/A,TRUE,"(B-5) SDT";#N/A,#N/A,TRUE,"(B-6) Fuel Oil";#N/A,#N/A,TRUE,"(B-7) NaturalGas"}</definedName>
    <definedName name="wrn.Appendix._.B." localSheetId="20" hidden="1">{#N/A,#N/A,TRUE,"(B-1) LimeKiln";#N/A,#N/A,TRUE,"(B-2) LimeSlaker";#N/A,#N/A,TRUE,"(B-3) Combo";#N/A,#N/A,TRUE,"(B-4) CRF";#N/A,#N/A,TRUE,"(B-5) SDT";#N/A,#N/A,TRUE,"(B-6) Fuel Oil";#N/A,#N/A,TRUE,"(B-7) NaturalGas"}</definedName>
    <definedName name="wrn.Appendix._.B." localSheetId="2" hidden="1">{#N/A,#N/A,TRUE,"(B-1) LimeKiln";#N/A,#N/A,TRUE,"(B-2) LimeSlaker";#N/A,#N/A,TRUE,"(B-3) Combo";#N/A,#N/A,TRUE,"(B-4) CRF";#N/A,#N/A,TRUE,"(B-5) SDT";#N/A,#N/A,TRUE,"(B-6) Fuel Oil";#N/A,#N/A,TRUE,"(B-7) NaturalGas"}</definedName>
    <definedName name="wrn.Appendix._.B." localSheetId="21" hidden="1">{#N/A,#N/A,TRUE,"(B-1) LimeKiln";#N/A,#N/A,TRUE,"(B-2) LimeSlaker";#N/A,#N/A,TRUE,"(B-3) Combo";#N/A,#N/A,TRUE,"(B-4) CRF";#N/A,#N/A,TRUE,"(B-5) SDT";#N/A,#N/A,TRUE,"(B-6) Fuel Oil";#N/A,#N/A,TRUE,"(B-7) NaturalGas"}</definedName>
    <definedName name="wrn.Appendix._.B." localSheetId="22" hidden="1">{#N/A,#N/A,TRUE,"(B-1) LimeKiln";#N/A,#N/A,TRUE,"(B-2) LimeSlaker";#N/A,#N/A,TRUE,"(B-3) Combo";#N/A,#N/A,TRUE,"(B-4) CRF";#N/A,#N/A,TRUE,"(B-5) SDT";#N/A,#N/A,TRUE,"(B-6) Fuel Oil";#N/A,#N/A,TRUE,"(B-7) NaturalGas"}</definedName>
    <definedName name="wrn.Appendix._.B." localSheetId="23" hidden="1">{#N/A,#N/A,TRUE,"(B-1) LimeKiln";#N/A,#N/A,TRUE,"(B-2) LimeSlaker";#N/A,#N/A,TRUE,"(B-3) Combo";#N/A,#N/A,TRUE,"(B-4) CRF";#N/A,#N/A,TRUE,"(B-5) SDT";#N/A,#N/A,TRUE,"(B-6) Fuel Oil";#N/A,#N/A,TRUE,"(B-7) NaturalGas"}</definedName>
    <definedName name="wrn.Appendix._.B." localSheetId="24" hidden="1">{#N/A,#N/A,TRUE,"(B-1) LimeKiln";#N/A,#N/A,TRUE,"(B-2) LimeSlaker";#N/A,#N/A,TRUE,"(B-3) Combo";#N/A,#N/A,TRUE,"(B-4) CRF";#N/A,#N/A,TRUE,"(B-5) SDT";#N/A,#N/A,TRUE,"(B-6) Fuel Oil";#N/A,#N/A,TRUE,"(B-7) NaturalGas"}</definedName>
    <definedName name="wrn.Appendix._.B." localSheetId="3" hidden="1">{#N/A,#N/A,TRUE,"(B-1) LimeKiln";#N/A,#N/A,TRUE,"(B-2) LimeSlaker";#N/A,#N/A,TRUE,"(B-3) Combo";#N/A,#N/A,TRUE,"(B-4) CRF";#N/A,#N/A,TRUE,"(B-5) SDT";#N/A,#N/A,TRUE,"(B-6) Fuel Oil";#N/A,#N/A,TRUE,"(B-7) NaturalGas"}</definedName>
    <definedName name="wrn.Appendix._.B." localSheetId="5" hidden="1">{#N/A,#N/A,TRUE,"(B-1) LimeKiln";#N/A,#N/A,TRUE,"(B-2) LimeSlaker";#N/A,#N/A,TRUE,"(B-3) Combo";#N/A,#N/A,TRUE,"(B-4) CRF";#N/A,#N/A,TRUE,"(B-5) SDT";#N/A,#N/A,TRUE,"(B-6) Fuel Oil";#N/A,#N/A,TRUE,"(B-7) NaturalGas"}</definedName>
    <definedName name="wrn.Appendix._.B." localSheetId="6" hidden="1">{#N/A,#N/A,TRUE,"(B-1) LimeKiln";#N/A,#N/A,TRUE,"(B-2) LimeSlaker";#N/A,#N/A,TRUE,"(B-3) Combo";#N/A,#N/A,TRUE,"(B-4) CRF";#N/A,#N/A,TRUE,"(B-5) SDT";#N/A,#N/A,TRUE,"(B-6) Fuel Oil";#N/A,#N/A,TRUE,"(B-7) NaturalGas"}</definedName>
    <definedName name="wrn.Appendix._.B." localSheetId="7" hidden="1">{#N/A,#N/A,TRUE,"(B-1) LimeKiln";#N/A,#N/A,TRUE,"(B-2) LimeSlaker";#N/A,#N/A,TRUE,"(B-3) Combo";#N/A,#N/A,TRUE,"(B-4) CRF";#N/A,#N/A,TRUE,"(B-5) SDT";#N/A,#N/A,TRUE,"(B-6) Fuel Oil";#N/A,#N/A,TRUE,"(B-7) NaturalGas"}</definedName>
    <definedName name="wrn.Appendix._.B." localSheetId="8" hidden="1">{#N/A,#N/A,TRUE,"(B-1) LimeKiln";#N/A,#N/A,TRUE,"(B-2) LimeSlaker";#N/A,#N/A,TRUE,"(B-3) Combo";#N/A,#N/A,TRUE,"(B-4) CRF";#N/A,#N/A,TRUE,"(B-5) SDT";#N/A,#N/A,TRUE,"(B-6) Fuel Oil";#N/A,#N/A,TRUE,"(B-7) NaturalGas"}</definedName>
    <definedName name="wrn.Appendix._.B." localSheetId="9" hidden="1">{#N/A,#N/A,TRUE,"(B-1) LimeKiln";#N/A,#N/A,TRUE,"(B-2) LimeSlaker";#N/A,#N/A,TRUE,"(B-3) Combo";#N/A,#N/A,TRUE,"(B-4) CRF";#N/A,#N/A,TRUE,"(B-5) SDT";#N/A,#N/A,TRUE,"(B-6) Fuel Oil";#N/A,#N/A,TRUE,"(B-7) NaturalGas"}</definedName>
    <definedName name="wrn.Appendix._.B." hidden="1">{#N/A,#N/A,TRUE,"(B-1) LimeKiln";#N/A,#N/A,TRUE,"(B-2) LimeSlaker";#N/A,#N/A,TRUE,"(B-3) Combo";#N/A,#N/A,TRUE,"(B-4) CRF";#N/A,#N/A,TRUE,"(B-5) SDT";#N/A,#N/A,TRUE,"(B-6) Fuel Oil";#N/A,#N/A,TRUE,"(B-7) NaturalGas"}</definedName>
    <definedName name="wrn.Appendix._.S." localSheetId="14" hidden="1">{#N/A,#N/A,TRUE,"Introduction";#N/A,#N/A,TRUE,"Emissions Inventory";#N/A,#N/A,TRUE,"Source Data"}</definedName>
    <definedName name="wrn.Appendix._.S." localSheetId="15" hidden="1">{#N/A,#N/A,TRUE,"Introduction";#N/A,#N/A,TRUE,"Emissions Inventory";#N/A,#N/A,TRUE,"Source Data"}</definedName>
    <definedName name="wrn.Appendix._.S." localSheetId="16" hidden="1">{#N/A,#N/A,TRUE,"Introduction";#N/A,#N/A,TRUE,"Emissions Inventory";#N/A,#N/A,TRUE,"Source Data"}</definedName>
    <definedName name="wrn.Appendix._.S." localSheetId="17" hidden="1">{#N/A,#N/A,TRUE,"Introduction";#N/A,#N/A,TRUE,"Emissions Inventory";#N/A,#N/A,TRUE,"Source Data"}</definedName>
    <definedName name="wrn.Appendix._.S." localSheetId="19" hidden="1">{#N/A,#N/A,TRUE,"Introduction";#N/A,#N/A,TRUE,"Emissions Inventory";#N/A,#N/A,TRUE,"Source Data"}</definedName>
    <definedName name="wrn.Appendix._.S." localSheetId="20" hidden="1">{#N/A,#N/A,TRUE,"Introduction";#N/A,#N/A,TRUE,"Emissions Inventory";#N/A,#N/A,TRUE,"Source Data"}</definedName>
    <definedName name="wrn.Appendix._.S." localSheetId="2" hidden="1">{#N/A,#N/A,TRUE,"Introduction";#N/A,#N/A,TRUE,"Emissions Inventory";#N/A,#N/A,TRUE,"Source Data"}</definedName>
    <definedName name="wrn.Appendix._.S." localSheetId="21" hidden="1">{#N/A,#N/A,TRUE,"Introduction";#N/A,#N/A,TRUE,"Emissions Inventory";#N/A,#N/A,TRUE,"Source Data"}</definedName>
    <definedName name="wrn.Appendix._.S." localSheetId="22" hidden="1">{#N/A,#N/A,TRUE,"Introduction";#N/A,#N/A,TRUE,"Emissions Inventory";#N/A,#N/A,TRUE,"Source Data"}</definedName>
    <definedName name="wrn.Appendix._.S." localSheetId="23" hidden="1">{#N/A,#N/A,TRUE,"Introduction";#N/A,#N/A,TRUE,"Emissions Inventory";#N/A,#N/A,TRUE,"Source Data"}</definedName>
    <definedName name="wrn.Appendix._.S." localSheetId="24" hidden="1">{#N/A,#N/A,TRUE,"Introduction";#N/A,#N/A,TRUE,"Emissions Inventory";#N/A,#N/A,TRUE,"Source Data"}</definedName>
    <definedName name="wrn.Appendix._.S." localSheetId="3" hidden="1">{#N/A,#N/A,TRUE,"Introduction";#N/A,#N/A,TRUE,"Emissions Inventory";#N/A,#N/A,TRUE,"Source Data"}</definedName>
    <definedName name="wrn.Appendix._.S." localSheetId="5" hidden="1">{#N/A,#N/A,TRUE,"Introduction";#N/A,#N/A,TRUE,"Emissions Inventory";#N/A,#N/A,TRUE,"Source Data"}</definedName>
    <definedName name="wrn.Appendix._.S." localSheetId="6" hidden="1">{#N/A,#N/A,TRUE,"Introduction";#N/A,#N/A,TRUE,"Emissions Inventory";#N/A,#N/A,TRUE,"Source Data"}</definedName>
    <definedName name="wrn.Appendix._.S." localSheetId="7" hidden="1">{#N/A,#N/A,TRUE,"Introduction";#N/A,#N/A,TRUE,"Emissions Inventory";#N/A,#N/A,TRUE,"Source Data"}</definedName>
    <definedName name="wrn.Appendix._.S." localSheetId="8" hidden="1">{#N/A,#N/A,TRUE,"Introduction";#N/A,#N/A,TRUE,"Emissions Inventory";#N/A,#N/A,TRUE,"Source Data"}</definedName>
    <definedName name="wrn.Appendix._.S." localSheetId="9" hidden="1">{#N/A,#N/A,TRUE,"Introduction";#N/A,#N/A,TRUE,"Emissions Inventory";#N/A,#N/A,TRUE,"Source Data"}</definedName>
    <definedName name="wrn.Appendix._.S." hidden="1">{#N/A,#N/A,TRUE,"Introduction";#N/A,#N/A,TRUE,"Emissions Inventory";#N/A,#N/A,TRUE,"Source Data"}</definedName>
    <definedName name="wrn.COMPLETEPRINT." localSheetId="14" hidden="1">{#N/A,#N/A,FALSE,"Rates";#N/A,#N/A,FALSE,"Summary";#N/A,#N/A,FALSE,"Boilers";#N/A,#N/A,FALSE,"Cyclones";#N/A,#N/A,FALSE,"Saws";#N/A,#N/A,FALSE,"Drops";#N/A,#N/A,FALSE,"Piles";#N/A,#N/A,FALSE,"Roads";#N/A,#N/A,FALSE,"Tanks";#N/A,#N/A,FALSE,"Kilns";#N/A,#N/A,FALSE,"Model"}</definedName>
    <definedName name="wrn.COMPLETEPRINT." localSheetId="15" hidden="1">{#N/A,#N/A,FALSE,"Rates";#N/A,#N/A,FALSE,"Summary";#N/A,#N/A,FALSE,"Boilers";#N/A,#N/A,FALSE,"Cyclones";#N/A,#N/A,FALSE,"Saws";#N/A,#N/A,FALSE,"Drops";#N/A,#N/A,FALSE,"Piles";#N/A,#N/A,FALSE,"Roads";#N/A,#N/A,FALSE,"Tanks";#N/A,#N/A,FALSE,"Kilns";#N/A,#N/A,FALSE,"Model"}</definedName>
    <definedName name="wrn.COMPLETEPRINT." localSheetId="16" hidden="1">{#N/A,#N/A,FALSE,"Rates";#N/A,#N/A,FALSE,"Summary";#N/A,#N/A,FALSE,"Boilers";#N/A,#N/A,FALSE,"Cyclones";#N/A,#N/A,FALSE,"Saws";#N/A,#N/A,FALSE,"Drops";#N/A,#N/A,FALSE,"Piles";#N/A,#N/A,FALSE,"Roads";#N/A,#N/A,FALSE,"Tanks";#N/A,#N/A,FALSE,"Kilns";#N/A,#N/A,FALSE,"Model"}</definedName>
    <definedName name="wrn.COMPLETEPRINT." localSheetId="17" hidden="1">{#N/A,#N/A,FALSE,"Rates";#N/A,#N/A,FALSE,"Summary";#N/A,#N/A,FALSE,"Boilers";#N/A,#N/A,FALSE,"Cyclones";#N/A,#N/A,FALSE,"Saws";#N/A,#N/A,FALSE,"Drops";#N/A,#N/A,FALSE,"Piles";#N/A,#N/A,FALSE,"Roads";#N/A,#N/A,FALSE,"Tanks";#N/A,#N/A,FALSE,"Kilns";#N/A,#N/A,FALSE,"Model"}</definedName>
    <definedName name="wrn.COMPLETEPRINT." localSheetId="19" hidden="1">{#N/A,#N/A,FALSE,"Rates";#N/A,#N/A,FALSE,"Summary";#N/A,#N/A,FALSE,"Boilers";#N/A,#N/A,FALSE,"Cyclones";#N/A,#N/A,FALSE,"Saws";#N/A,#N/A,FALSE,"Drops";#N/A,#N/A,FALSE,"Piles";#N/A,#N/A,FALSE,"Roads";#N/A,#N/A,FALSE,"Tanks";#N/A,#N/A,FALSE,"Kilns";#N/A,#N/A,FALSE,"Model"}</definedName>
    <definedName name="wrn.COMPLETEPRINT." localSheetId="20" hidden="1">{#N/A,#N/A,FALSE,"Rates";#N/A,#N/A,FALSE,"Summary";#N/A,#N/A,FALSE,"Boilers";#N/A,#N/A,FALSE,"Cyclones";#N/A,#N/A,FALSE,"Saws";#N/A,#N/A,FALSE,"Drops";#N/A,#N/A,FALSE,"Piles";#N/A,#N/A,FALSE,"Roads";#N/A,#N/A,FALSE,"Tanks";#N/A,#N/A,FALSE,"Kilns";#N/A,#N/A,FALSE,"Model"}</definedName>
    <definedName name="wrn.COMPLETEPRINT." localSheetId="2" hidden="1">{#N/A,#N/A,FALSE,"Rates";#N/A,#N/A,FALSE,"Summary";#N/A,#N/A,FALSE,"Boilers";#N/A,#N/A,FALSE,"Cyclones";#N/A,#N/A,FALSE,"Saws";#N/A,#N/A,FALSE,"Drops";#N/A,#N/A,FALSE,"Piles";#N/A,#N/A,FALSE,"Roads";#N/A,#N/A,FALSE,"Tanks";#N/A,#N/A,FALSE,"Kilns";#N/A,#N/A,FALSE,"Model"}</definedName>
    <definedName name="wrn.COMPLETEPRINT." localSheetId="21" hidden="1">{#N/A,#N/A,FALSE,"Rates";#N/A,#N/A,FALSE,"Summary";#N/A,#N/A,FALSE,"Boilers";#N/A,#N/A,FALSE,"Cyclones";#N/A,#N/A,FALSE,"Saws";#N/A,#N/A,FALSE,"Drops";#N/A,#N/A,FALSE,"Piles";#N/A,#N/A,FALSE,"Roads";#N/A,#N/A,FALSE,"Tanks";#N/A,#N/A,FALSE,"Kilns";#N/A,#N/A,FALSE,"Model"}</definedName>
    <definedName name="wrn.COMPLETEPRINT." localSheetId="22" hidden="1">{#N/A,#N/A,FALSE,"Rates";#N/A,#N/A,FALSE,"Summary";#N/A,#N/A,FALSE,"Boilers";#N/A,#N/A,FALSE,"Cyclones";#N/A,#N/A,FALSE,"Saws";#N/A,#N/A,FALSE,"Drops";#N/A,#N/A,FALSE,"Piles";#N/A,#N/A,FALSE,"Roads";#N/A,#N/A,FALSE,"Tanks";#N/A,#N/A,FALSE,"Kilns";#N/A,#N/A,FALSE,"Model"}</definedName>
    <definedName name="wrn.COMPLETEPRINT." localSheetId="23" hidden="1">{#N/A,#N/A,FALSE,"Rates";#N/A,#N/A,FALSE,"Summary";#N/A,#N/A,FALSE,"Boilers";#N/A,#N/A,FALSE,"Cyclones";#N/A,#N/A,FALSE,"Saws";#N/A,#N/A,FALSE,"Drops";#N/A,#N/A,FALSE,"Piles";#N/A,#N/A,FALSE,"Roads";#N/A,#N/A,FALSE,"Tanks";#N/A,#N/A,FALSE,"Kilns";#N/A,#N/A,FALSE,"Model"}</definedName>
    <definedName name="wrn.COMPLETEPRINT." localSheetId="24" hidden="1">{#N/A,#N/A,FALSE,"Rates";#N/A,#N/A,FALSE,"Summary";#N/A,#N/A,FALSE,"Boilers";#N/A,#N/A,FALSE,"Cyclones";#N/A,#N/A,FALSE,"Saws";#N/A,#N/A,FALSE,"Drops";#N/A,#N/A,FALSE,"Piles";#N/A,#N/A,FALSE,"Roads";#N/A,#N/A,FALSE,"Tanks";#N/A,#N/A,FALSE,"Kilns";#N/A,#N/A,FALSE,"Model"}</definedName>
    <definedName name="wrn.COMPLETEPRINT." localSheetId="3" hidden="1">{#N/A,#N/A,FALSE,"Rates";#N/A,#N/A,FALSE,"Summary";#N/A,#N/A,FALSE,"Boilers";#N/A,#N/A,FALSE,"Cyclones";#N/A,#N/A,FALSE,"Saws";#N/A,#N/A,FALSE,"Drops";#N/A,#N/A,FALSE,"Piles";#N/A,#N/A,FALSE,"Roads";#N/A,#N/A,FALSE,"Tanks";#N/A,#N/A,FALSE,"Kilns";#N/A,#N/A,FALSE,"Model"}</definedName>
    <definedName name="wrn.COMPLETEPRINT." localSheetId="5" hidden="1">{#N/A,#N/A,FALSE,"Rates";#N/A,#N/A,FALSE,"Summary";#N/A,#N/A,FALSE,"Boilers";#N/A,#N/A,FALSE,"Cyclones";#N/A,#N/A,FALSE,"Saws";#N/A,#N/A,FALSE,"Drops";#N/A,#N/A,FALSE,"Piles";#N/A,#N/A,FALSE,"Roads";#N/A,#N/A,FALSE,"Tanks";#N/A,#N/A,FALSE,"Kilns";#N/A,#N/A,FALSE,"Model"}</definedName>
    <definedName name="wrn.COMPLETEPRINT." localSheetId="6" hidden="1">{#N/A,#N/A,FALSE,"Rates";#N/A,#N/A,FALSE,"Summary";#N/A,#N/A,FALSE,"Boilers";#N/A,#N/A,FALSE,"Cyclones";#N/A,#N/A,FALSE,"Saws";#N/A,#N/A,FALSE,"Drops";#N/A,#N/A,FALSE,"Piles";#N/A,#N/A,FALSE,"Roads";#N/A,#N/A,FALSE,"Tanks";#N/A,#N/A,FALSE,"Kilns";#N/A,#N/A,FALSE,"Model"}</definedName>
    <definedName name="wrn.COMPLETEPRINT." localSheetId="7" hidden="1">{#N/A,#N/A,FALSE,"Rates";#N/A,#N/A,FALSE,"Summary";#N/A,#N/A,FALSE,"Boilers";#N/A,#N/A,FALSE,"Cyclones";#N/A,#N/A,FALSE,"Saws";#N/A,#N/A,FALSE,"Drops";#N/A,#N/A,FALSE,"Piles";#N/A,#N/A,FALSE,"Roads";#N/A,#N/A,FALSE,"Tanks";#N/A,#N/A,FALSE,"Kilns";#N/A,#N/A,FALSE,"Model"}</definedName>
    <definedName name="wrn.COMPLETEPRINT." localSheetId="8" hidden="1">{#N/A,#N/A,FALSE,"Rates";#N/A,#N/A,FALSE,"Summary";#N/A,#N/A,FALSE,"Boilers";#N/A,#N/A,FALSE,"Cyclones";#N/A,#N/A,FALSE,"Saws";#N/A,#N/A,FALSE,"Drops";#N/A,#N/A,FALSE,"Piles";#N/A,#N/A,FALSE,"Roads";#N/A,#N/A,FALSE,"Tanks";#N/A,#N/A,FALSE,"Kilns";#N/A,#N/A,FALSE,"Model"}</definedName>
    <definedName name="wrn.COMPLETEPRINT." localSheetId="9" hidden="1">{#N/A,#N/A,FALSE,"Rates";#N/A,#N/A,FALSE,"Summary";#N/A,#N/A,FALSE,"Boilers";#N/A,#N/A,FALSE,"Cyclones";#N/A,#N/A,FALSE,"Saws";#N/A,#N/A,FALSE,"Drops";#N/A,#N/A,FALSE,"Piles";#N/A,#N/A,FALSE,"Roads";#N/A,#N/A,FALSE,"Tanks";#N/A,#N/A,FALSE,"Kilns";#N/A,#N/A,FALSE,"Model"}</definedName>
    <definedName name="wrn.COMPLETEPRINT." hidden="1">{#N/A,#N/A,FALSE,"Rates";#N/A,#N/A,FALSE,"Summary";#N/A,#N/A,FALSE,"Boilers";#N/A,#N/A,FALSE,"Cyclones";#N/A,#N/A,FALSE,"Saws";#N/A,#N/A,FALSE,"Drops";#N/A,#N/A,FALSE,"Piles";#N/A,#N/A,FALSE,"Roads";#N/A,#N/A,FALSE,"Tanks";#N/A,#N/A,FALSE,"Kilns";#N/A,#N/A,FALSE,"Model"}</definedName>
    <definedName name="wrn.Detailed._.and._.Summary._.Report." localSheetId="14" hidden="1">{"Detailed",#N/A,FALSE,"GAS-COMB";"Summary",#N/A,FALSE,"GAS-COMB"}</definedName>
    <definedName name="wrn.Detailed._.and._.Summary._.Report." localSheetId="15" hidden="1">{"Detailed",#N/A,FALSE,"GAS-COMB";"Summary",#N/A,FALSE,"GAS-COMB"}</definedName>
    <definedName name="wrn.Detailed._.and._.Summary._.Report." localSheetId="16" hidden="1">{"Detailed",#N/A,FALSE,"GAS-COMB";"Summary",#N/A,FALSE,"GAS-COMB"}</definedName>
    <definedName name="wrn.Detailed._.and._.Summary._.Report." localSheetId="17" hidden="1">{"Detailed",#N/A,FALSE,"GAS-COMB";"Summary",#N/A,FALSE,"GAS-COMB"}</definedName>
    <definedName name="wrn.Detailed._.and._.Summary._.Report." localSheetId="19" hidden="1">{"Detailed",#N/A,FALSE,"GAS-COMB";"Summary",#N/A,FALSE,"GAS-COMB"}</definedName>
    <definedName name="wrn.Detailed._.and._.Summary._.Report." localSheetId="20" hidden="1">{"Detailed",#N/A,FALSE,"GAS-COMB";"Summary",#N/A,FALSE,"GAS-COMB"}</definedName>
    <definedName name="wrn.Detailed._.and._.Summary._.Report." localSheetId="2" hidden="1">{"Detailed",#N/A,FALSE,"GAS-COMB";"Summary",#N/A,FALSE,"GAS-COMB"}</definedName>
    <definedName name="wrn.Detailed._.and._.Summary._.Report." localSheetId="21" hidden="1">{"Detailed",#N/A,FALSE,"GAS-COMB";"Summary",#N/A,FALSE,"GAS-COMB"}</definedName>
    <definedName name="wrn.Detailed._.and._.Summary._.Report." localSheetId="22" hidden="1">{"Detailed",#N/A,FALSE,"GAS-COMB";"Summary",#N/A,FALSE,"GAS-COMB"}</definedName>
    <definedName name="wrn.Detailed._.and._.Summary._.Report." localSheetId="23" hidden="1">{"Detailed",#N/A,FALSE,"GAS-COMB";"Summary",#N/A,FALSE,"GAS-COMB"}</definedName>
    <definedName name="wrn.Detailed._.and._.Summary._.Report." localSheetId="24" hidden="1">{"Detailed",#N/A,FALSE,"GAS-COMB";"Summary",#N/A,FALSE,"GAS-COMB"}</definedName>
    <definedName name="wrn.Detailed._.and._.Summary._.Report." localSheetId="3" hidden="1">{"Detailed",#N/A,FALSE,"GAS-COMB";"Summary",#N/A,FALSE,"GAS-COMB"}</definedName>
    <definedName name="wrn.Detailed._.and._.Summary._.Report." localSheetId="5" hidden="1">{"Detailed",#N/A,FALSE,"GAS-COMB";"Summary",#N/A,FALSE,"GAS-COMB"}</definedName>
    <definedName name="wrn.Detailed._.and._.Summary._.Report." localSheetId="6" hidden="1">{"Detailed",#N/A,FALSE,"GAS-COMB";"Summary",#N/A,FALSE,"GAS-COMB"}</definedName>
    <definedName name="wrn.Detailed._.and._.Summary._.Report." localSheetId="7" hidden="1">{"Detailed",#N/A,FALSE,"GAS-COMB";"Summary",#N/A,FALSE,"GAS-COMB"}</definedName>
    <definedName name="wrn.Detailed._.and._.Summary._.Report." localSheetId="8" hidden="1">{"Detailed",#N/A,FALSE,"GAS-COMB";"Summary",#N/A,FALSE,"GAS-COMB"}</definedName>
    <definedName name="wrn.Detailed._.and._.Summary._.Report." localSheetId="9" hidden="1">{"Detailed",#N/A,FALSE,"GAS-COMB";"Summary",#N/A,FALSE,"GAS-COMB"}</definedName>
    <definedName name="wrn.Detailed._.and._.Summary._.Report." hidden="1">{"Detailed",#N/A,FALSE,"GAS-COMB";"Summary",#N/A,FALSE,"GAS-COMB"}</definedName>
    <definedName name="wrn.Detailed._.Report." localSheetId="14" hidden="1">{"Detailed",#N/A,FALSE,"GAS-COMB"}</definedName>
    <definedName name="wrn.Detailed._.Report." localSheetId="15" hidden="1">{"Detailed",#N/A,FALSE,"GAS-COMB"}</definedName>
    <definedName name="wrn.Detailed._.Report." localSheetId="16" hidden="1">{"Detailed",#N/A,FALSE,"GAS-COMB"}</definedName>
    <definedName name="wrn.Detailed._.Report." localSheetId="17" hidden="1">{"Detailed",#N/A,FALSE,"GAS-COMB"}</definedName>
    <definedName name="wrn.Detailed._.Report." localSheetId="19" hidden="1">{"Detailed",#N/A,FALSE,"GAS-COMB"}</definedName>
    <definedName name="wrn.Detailed._.Report." localSheetId="20" hidden="1">{"Detailed",#N/A,FALSE,"GAS-COMB"}</definedName>
    <definedName name="wrn.Detailed._.Report." localSheetId="2" hidden="1">{"Detailed",#N/A,FALSE,"GAS-COMB"}</definedName>
    <definedName name="wrn.Detailed._.Report." localSheetId="21" hidden="1">{"Detailed",#N/A,FALSE,"GAS-COMB"}</definedName>
    <definedName name="wrn.Detailed._.Report." localSheetId="22" hidden="1">{"Detailed",#N/A,FALSE,"GAS-COMB"}</definedName>
    <definedName name="wrn.Detailed._.Report." localSheetId="23" hidden="1">{"Detailed",#N/A,FALSE,"GAS-COMB"}</definedName>
    <definedName name="wrn.Detailed._.Report." localSheetId="24" hidden="1">{"Detailed",#N/A,FALSE,"GAS-COMB"}</definedName>
    <definedName name="wrn.Detailed._.Report." localSheetId="3" hidden="1">{"Detailed",#N/A,FALSE,"GAS-COMB"}</definedName>
    <definedName name="wrn.Detailed._.Report." localSheetId="5" hidden="1">{"Detailed",#N/A,FALSE,"GAS-COMB"}</definedName>
    <definedName name="wrn.Detailed._.Report." localSheetId="6" hidden="1">{"Detailed",#N/A,FALSE,"GAS-COMB"}</definedName>
    <definedName name="wrn.Detailed._.Report." localSheetId="7" hidden="1">{"Detailed",#N/A,FALSE,"GAS-COMB"}</definedName>
    <definedName name="wrn.Detailed._.Report." localSheetId="8" hidden="1">{"Detailed",#N/A,FALSE,"GAS-COMB"}</definedName>
    <definedName name="wrn.Detailed._.Report." localSheetId="9" hidden="1">{"Detailed",#N/A,FALSE,"GAS-COMB"}</definedName>
    <definedName name="wrn.Detailed._.Report." hidden="1">{"Detailed",#N/A,FALSE,"GAS-COMB"}</definedName>
    <definedName name="wrn.Summary._.Report." localSheetId="14" hidden="1">{"Summary",#N/A,FALSE,"GAS-COMB"}</definedName>
    <definedName name="wrn.Summary._.Report." localSheetId="15" hidden="1">{"Summary",#N/A,FALSE,"GAS-COMB"}</definedName>
    <definedName name="wrn.Summary._.Report." localSheetId="16" hidden="1">{"Summary",#N/A,FALSE,"GAS-COMB"}</definedName>
    <definedName name="wrn.Summary._.Report." localSheetId="17" hidden="1">{"Summary",#N/A,FALSE,"GAS-COMB"}</definedName>
    <definedName name="wrn.Summary._.Report." localSheetId="19" hidden="1">{"Summary",#N/A,FALSE,"GAS-COMB"}</definedName>
    <definedName name="wrn.Summary._.Report." localSheetId="20" hidden="1">{"Summary",#N/A,FALSE,"GAS-COMB"}</definedName>
    <definedName name="wrn.Summary._.Report." localSheetId="2" hidden="1">{"Summary",#N/A,FALSE,"GAS-COMB"}</definedName>
    <definedName name="wrn.Summary._.Report." localSheetId="21" hidden="1">{"Summary",#N/A,FALSE,"GAS-COMB"}</definedName>
    <definedName name="wrn.Summary._.Report." localSheetId="22" hidden="1">{"Summary",#N/A,FALSE,"GAS-COMB"}</definedName>
    <definedName name="wrn.Summary._.Report." localSheetId="23" hidden="1">{"Summary",#N/A,FALSE,"GAS-COMB"}</definedName>
    <definedName name="wrn.Summary._.Report." localSheetId="24" hidden="1">{"Summary",#N/A,FALSE,"GAS-COMB"}</definedName>
    <definedName name="wrn.Summary._.Report." localSheetId="3" hidden="1">{"Summary",#N/A,FALSE,"GAS-COMB"}</definedName>
    <definedName name="wrn.Summary._.Report." localSheetId="5" hidden="1">{"Summary",#N/A,FALSE,"GAS-COMB"}</definedName>
    <definedName name="wrn.Summary._.Report." localSheetId="6" hidden="1">{"Summary",#N/A,FALSE,"GAS-COMB"}</definedName>
    <definedName name="wrn.Summary._.Report." localSheetId="7" hidden="1">{"Summary",#N/A,FALSE,"GAS-COMB"}</definedName>
    <definedName name="wrn.Summary._.Report." localSheetId="8" hidden="1">{"Summary",#N/A,FALSE,"GAS-COMB"}</definedName>
    <definedName name="wrn.Summary._.Report." localSheetId="9" hidden="1">{"Summary",#N/A,FALSE,"GAS-COMB"}</definedName>
    <definedName name="wrn.Summary._.Report." hidden="1">{"Summary",#N/A,FALSE,"GAS-COMB"}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50" l="1"/>
  <c r="E17" i="50"/>
  <c r="F17" i="50"/>
  <c r="G17" i="50"/>
  <c r="H17" i="50"/>
  <c r="I17" i="50"/>
  <c r="E99" i="29"/>
  <c r="E167" i="81"/>
  <c r="E165" i="81"/>
  <c r="E164" i="81"/>
  <c r="E163" i="81"/>
  <c r="E162" i="81"/>
  <c r="E161" i="81"/>
  <c r="E160" i="81"/>
  <c r="E200" i="29"/>
  <c r="E198" i="29"/>
  <c r="E197" i="29"/>
  <c r="E196" i="29"/>
  <c r="E195" i="29"/>
  <c r="E194" i="29"/>
  <c r="E193" i="29"/>
  <c r="E160" i="29"/>
  <c r="D160" i="29" l="1"/>
  <c r="E95" i="29" l="1"/>
  <c r="E96" i="29"/>
  <c r="E97" i="29"/>
  <c r="E98" i="29"/>
  <c r="E100" i="29"/>
  <c r="E101" i="29"/>
  <c r="E102" i="29"/>
  <c r="E106" i="29"/>
  <c r="E107" i="29"/>
  <c r="E108" i="29"/>
  <c r="E109" i="29"/>
  <c r="E110" i="29"/>
  <c r="E111" i="29"/>
  <c r="E112" i="29"/>
  <c r="E113" i="29"/>
  <c r="E114" i="29"/>
  <c r="E115" i="29"/>
  <c r="E116" i="29"/>
  <c r="E117" i="29"/>
  <c r="E118" i="29"/>
  <c r="E119" i="29"/>
  <c r="E120" i="29"/>
  <c r="E121" i="29"/>
  <c r="E122" i="29"/>
  <c r="E123" i="29"/>
  <c r="E124" i="29"/>
  <c r="E140" i="29"/>
  <c r="E142" i="29"/>
  <c r="E144" i="29"/>
  <c r="E161" i="29"/>
  <c r="E162" i="29"/>
  <c r="E163" i="29"/>
  <c r="E164" i="29"/>
  <c r="E165" i="29"/>
  <c r="E95" i="81"/>
  <c r="E96" i="81"/>
  <c r="E97" i="81"/>
  <c r="E98" i="81"/>
  <c r="E99" i="81"/>
  <c r="E100" i="81"/>
  <c r="E101" i="81"/>
  <c r="E102" i="81"/>
  <c r="E124" i="81"/>
  <c r="E132" i="81"/>
  <c r="E140" i="81"/>
  <c r="E142" i="81"/>
  <c r="E193" i="81"/>
  <c r="E194" i="81"/>
  <c r="E195" i="81"/>
  <c r="E196" i="81"/>
  <c r="E197" i="81"/>
  <c r="E198" i="81"/>
  <c r="E200" i="81"/>
  <c r="E82" i="19"/>
  <c r="E90" i="19"/>
  <c r="E98" i="19"/>
  <c r="E100" i="19"/>
  <c r="C30" i="88"/>
  <c r="D44" i="93"/>
  <c r="E26" i="31"/>
  <c r="D31" i="50" l="1"/>
  <c r="E31" i="50"/>
  <c r="F31" i="50"/>
  <c r="G31" i="50"/>
  <c r="H31" i="50"/>
  <c r="I31" i="50"/>
  <c r="D32" i="50"/>
  <c r="E32" i="50"/>
  <c r="F32" i="50"/>
  <c r="G32" i="50"/>
  <c r="H32" i="50"/>
  <c r="I32" i="50"/>
  <c r="D33" i="50"/>
  <c r="E33" i="50"/>
  <c r="F33" i="50"/>
  <c r="G33" i="50"/>
  <c r="H33" i="50"/>
  <c r="I33" i="50"/>
  <c r="D35" i="50"/>
  <c r="E35" i="50"/>
  <c r="F35" i="50"/>
  <c r="G35" i="50"/>
  <c r="H35" i="50"/>
  <c r="I35" i="50"/>
  <c r="D36" i="50"/>
  <c r="E36" i="50"/>
  <c r="F36" i="50"/>
  <c r="G36" i="50"/>
  <c r="H36" i="50"/>
  <c r="I36" i="50"/>
  <c r="D34" i="50"/>
  <c r="E34" i="50"/>
  <c r="F34" i="50"/>
  <c r="G34" i="50"/>
  <c r="H34" i="50"/>
  <c r="I34" i="50"/>
  <c r="N31" i="50"/>
  <c r="O31" i="50"/>
  <c r="T31" i="50"/>
  <c r="U31" i="50"/>
  <c r="V31" i="50"/>
  <c r="W31" i="50"/>
  <c r="N32" i="50"/>
  <c r="O32" i="50"/>
  <c r="P32" i="50"/>
  <c r="Q32" i="50"/>
  <c r="T32" i="50"/>
  <c r="U32" i="50"/>
  <c r="V32" i="50"/>
  <c r="W32" i="50"/>
  <c r="L33" i="50"/>
  <c r="M33" i="50"/>
  <c r="N33" i="50"/>
  <c r="O33" i="50"/>
  <c r="P33" i="50"/>
  <c r="Q33" i="50"/>
  <c r="R33" i="50"/>
  <c r="S33" i="50"/>
  <c r="T33" i="50"/>
  <c r="U33" i="50"/>
  <c r="V33" i="50"/>
  <c r="W33" i="50"/>
  <c r="X33" i="50"/>
  <c r="Y33" i="50"/>
  <c r="E48" i="101"/>
  <c r="E47" i="101"/>
  <c r="E46" i="101"/>
  <c r="E70" i="100"/>
  <c r="E68" i="100"/>
  <c r="E60" i="100"/>
  <c r="E52" i="100"/>
  <c r="E30" i="100"/>
  <c r="E29" i="100"/>
  <c r="E28" i="100"/>
  <c r="E27" i="100"/>
  <c r="E26" i="100"/>
  <c r="E25" i="100"/>
  <c r="E24" i="100"/>
  <c r="E23" i="100"/>
  <c r="E101" i="46"/>
  <c r="E99" i="46"/>
  <c r="E91" i="46"/>
  <c r="E83" i="46"/>
  <c r="E61" i="46"/>
  <c r="E60" i="46"/>
  <c r="E100" i="84"/>
  <c r="E96" i="84"/>
  <c r="E94" i="84"/>
  <c r="E93" i="84"/>
  <c r="E92" i="84"/>
  <c r="E91" i="84"/>
  <c r="E90" i="84"/>
  <c r="E89" i="84"/>
  <c r="E71" i="84"/>
  <c r="E69" i="84"/>
  <c r="E61" i="84"/>
  <c r="E53" i="84"/>
  <c r="E31" i="84"/>
  <c r="E30" i="84"/>
  <c r="E29" i="84"/>
  <c r="E28" i="84"/>
  <c r="E27" i="84"/>
  <c r="E26" i="84"/>
  <c r="E25" i="84"/>
  <c r="E24" i="84"/>
  <c r="E25" i="86"/>
  <c r="E25" i="24"/>
  <c r="E171" i="29"/>
  <c r="E204" i="29"/>
  <c r="E167" i="29" l="1"/>
  <c r="D27" i="20" l="1"/>
  <c r="E24" i="20"/>
  <c r="E28" i="86"/>
  <c r="E27" i="86"/>
  <c r="G16" i="50" l="1"/>
  <c r="D62" i="29"/>
  <c r="C62" i="29" s="1"/>
  <c r="D63" i="29"/>
  <c r="C63" i="29" s="1"/>
  <c r="D64" i="29"/>
  <c r="C64" i="29" s="1"/>
  <c r="E34" i="29"/>
  <c r="E33" i="98"/>
  <c r="E33" i="19"/>
  <c r="E28" i="92" l="1"/>
  <c r="E134" i="46"/>
  <c r="E133" i="46"/>
  <c r="E135" i="46"/>
  <c r="H134" i="89"/>
  <c r="H133" i="89"/>
  <c r="H132" i="89"/>
  <c r="H131" i="89"/>
  <c r="H130" i="89"/>
  <c r="H129" i="89"/>
  <c r="H128" i="89"/>
  <c r="H127" i="89"/>
  <c r="H117" i="89"/>
  <c r="H116" i="89"/>
  <c r="H115" i="89"/>
  <c r="H114" i="89"/>
  <c r="H113" i="89"/>
  <c r="H112" i="89"/>
  <c r="H111" i="89"/>
  <c r="H110" i="89"/>
  <c r="H100" i="89"/>
  <c r="H99" i="89"/>
  <c r="H98" i="89"/>
  <c r="H97" i="89"/>
  <c r="H96" i="89"/>
  <c r="H95" i="89"/>
  <c r="H94" i="89"/>
  <c r="H93" i="89"/>
  <c r="F82" i="89"/>
  <c r="F81" i="89"/>
  <c r="F80" i="89"/>
  <c r="F79" i="89"/>
  <c r="F78" i="89"/>
  <c r="F77" i="89"/>
  <c r="F76" i="89"/>
  <c r="F75" i="89"/>
  <c r="F74" i="89"/>
  <c r="F73" i="89"/>
  <c r="F72" i="89"/>
  <c r="F71" i="89"/>
  <c r="F70" i="89"/>
  <c r="F60" i="89"/>
  <c r="F59" i="89"/>
  <c r="F58" i="89"/>
  <c r="F57" i="89"/>
  <c r="F56" i="89"/>
  <c r="F55" i="89"/>
  <c r="F54" i="89"/>
  <c r="F53" i="89"/>
  <c r="F52" i="89"/>
  <c r="F51" i="89"/>
  <c r="F50" i="89"/>
  <c r="F49" i="89"/>
  <c r="F48" i="89"/>
  <c r="F47" i="89"/>
  <c r="F37" i="89"/>
  <c r="F36" i="89"/>
  <c r="F35" i="89"/>
  <c r="F34" i="89"/>
  <c r="F33" i="89"/>
  <c r="F32" i="89"/>
  <c r="F31" i="89"/>
  <c r="F30" i="89"/>
  <c r="F29" i="89"/>
  <c r="F28" i="89"/>
  <c r="F27" i="89"/>
  <c r="F26" i="89"/>
  <c r="F25" i="89"/>
  <c r="F24" i="89"/>
  <c r="E44" i="42" l="1"/>
  <c r="E78" i="84"/>
  <c r="E77" i="84"/>
  <c r="E76" i="84"/>
  <c r="E34" i="81"/>
  <c r="E31" i="19"/>
  <c r="E107" i="19"/>
  <c r="E106" i="19"/>
  <c r="E105" i="19"/>
  <c r="E204" i="81" l="1"/>
  <c r="E171" i="81"/>
  <c r="C16" i="20" l="1"/>
  <c r="E143" i="29"/>
  <c r="E29" i="20" l="1"/>
  <c r="E130" i="19"/>
  <c r="E129" i="19"/>
  <c r="E128" i="19"/>
  <c r="E215" i="29"/>
  <c r="E214" i="29"/>
  <c r="E213" i="29"/>
  <c r="E158" i="19"/>
  <c r="E157" i="19"/>
  <c r="E156" i="19"/>
  <c r="E50" i="20"/>
  <c r="E49" i="20"/>
  <c r="E48" i="20"/>
  <c r="E30" i="20"/>
  <c r="E27" i="20"/>
  <c r="E215" i="81"/>
  <c r="E214" i="81"/>
  <c r="E213" i="81"/>
  <c r="E182" i="81"/>
  <c r="E181" i="81"/>
  <c r="E180" i="81"/>
  <c r="E158" i="98"/>
  <c r="E157" i="98"/>
  <c r="E156" i="98"/>
  <c r="E130" i="98"/>
  <c r="E129" i="98"/>
  <c r="E128" i="98"/>
  <c r="E107" i="98"/>
  <c r="E106" i="98"/>
  <c r="E105" i="98"/>
  <c r="E111" i="84"/>
  <c r="E110" i="84"/>
  <c r="E109" i="84"/>
  <c r="E108" i="46"/>
  <c r="E107" i="46"/>
  <c r="E106" i="46"/>
  <c r="E111" i="88"/>
  <c r="E110" i="88"/>
  <c r="E109" i="88"/>
  <c r="E168" i="88"/>
  <c r="E167" i="88"/>
  <c r="E166" i="88"/>
  <c r="E137" i="88"/>
  <c r="E136" i="88"/>
  <c r="E135" i="88"/>
  <c r="E64" i="88"/>
  <c r="E31" i="25" l="1"/>
  <c r="E86" i="88"/>
  <c r="E30" i="25"/>
  <c r="E29" i="25"/>
  <c r="E26" i="92"/>
  <c r="E77" i="100"/>
  <c r="E76" i="100"/>
  <c r="E75" i="100"/>
  <c r="E59" i="90" l="1"/>
  <c r="E58" i="90"/>
  <c r="E57" i="90"/>
  <c r="E43" i="90"/>
  <c r="E31" i="90"/>
  <c r="E30" i="90"/>
  <c r="E29" i="90"/>
  <c r="I42" i="95" l="1"/>
  <c r="H42" i="95"/>
  <c r="G42" i="95"/>
  <c r="I32" i="95"/>
  <c r="I31" i="95"/>
  <c r="I30" i="95"/>
  <c r="I29" i="95"/>
  <c r="I27" i="95"/>
  <c r="I26" i="95"/>
  <c r="I25" i="95"/>
  <c r="I24" i="95"/>
  <c r="I23" i="95"/>
  <c r="I22" i="95"/>
  <c r="H32" i="95"/>
  <c r="H31" i="95"/>
  <c r="H30" i="95"/>
  <c r="H29" i="95"/>
  <c r="H27" i="95"/>
  <c r="H26" i="95"/>
  <c r="H25" i="95"/>
  <c r="H24" i="95"/>
  <c r="H23" i="95"/>
  <c r="H22" i="95"/>
  <c r="G29" i="95"/>
  <c r="G27" i="95"/>
  <c r="G26" i="95"/>
  <c r="G25" i="95"/>
  <c r="G24" i="95"/>
  <c r="G30" i="95"/>
  <c r="G31" i="95"/>
  <c r="G32" i="95"/>
  <c r="G23" i="95"/>
  <c r="G22" i="95"/>
  <c r="E149" i="81" l="1"/>
  <c r="E148" i="81"/>
  <c r="E147" i="81"/>
  <c r="E32" i="81"/>
  <c r="E132" i="29"/>
  <c r="E147" i="29"/>
  <c r="E148" i="29"/>
  <c r="E149" i="29"/>
  <c r="E180" i="29"/>
  <c r="E181" i="29"/>
  <c r="E182" i="29"/>
  <c r="D95" i="29"/>
  <c r="E34" i="98" l="1"/>
  <c r="E30" i="98"/>
  <c r="E29" i="98"/>
  <c r="E31" i="98"/>
  <c r="E34" i="19"/>
  <c r="E30" i="19"/>
  <c r="E29" i="19"/>
  <c r="L1" i="102" l="1"/>
  <c r="H21" i="91"/>
  <c r="F19" i="96" l="1"/>
  <c r="G17" i="96"/>
  <c r="E26" i="86"/>
  <c r="E34" i="88" l="1"/>
  <c r="C34" i="88" s="1"/>
  <c r="E33" i="88"/>
  <c r="C33" i="88" s="1"/>
  <c r="E31" i="88"/>
  <c r="C31" i="88" s="1"/>
  <c r="E37" i="81" l="1"/>
  <c r="E36" i="81"/>
  <c r="E33" i="81"/>
  <c r="E37" i="29"/>
  <c r="E36" i="29"/>
  <c r="E32" i="29"/>
  <c r="E33" i="29"/>
  <c r="F28" i="96"/>
  <c r="G28" i="96"/>
  <c r="C15" i="85" l="1"/>
  <c r="K25" i="85"/>
  <c r="K26" i="85"/>
  <c r="G21" i="50" l="1"/>
  <c r="F29" i="50"/>
  <c r="J7" i="81"/>
  <c r="J5" i="81"/>
  <c r="J7" i="29"/>
  <c r="J5" i="29"/>
  <c r="Y57" i="50" l="1"/>
  <c r="W57" i="50"/>
  <c r="V57" i="50"/>
  <c r="S57" i="50"/>
  <c r="R57" i="50"/>
  <c r="Q57" i="50"/>
  <c r="P57" i="50"/>
  <c r="O57" i="50"/>
  <c r="N57" i="50"/>
  <c r="M57" i="50"/>
  <c r="L57" i="50"/>
  <c r="K57" i="50"/>
  <c r="J57" i="50"/>
  <c r="I57" i="50"/>
  <c r="H57" i="50"/>
  <c r="G57" i="50"/>
  <c r="F57" i="50"/>
  <c r="E57" i="50"/>
  <c r="D57" i="50"/>
  <c r="Y56" i="50"/>
  <c r="P40" i="50"/>
  <c r="P66" i="50" s="1"/>
  <c r="L40" i="50"/>
  <c r="L66" i="50" s="1"/>
  <c r="K40" i="50"/>
  <c r="K66" i="50" s="1"/>
  <c r="J40" i="50"/>
  <c r="J66" i="50" s="1"/>
  <c r="I40" i="50"/>
  <c r="I66" i="50" s="1"/>
  <c r="H40" i="50"/>
  <c r="H66" i="50" s="1"/>
  <c r="G40" i="50"/>
  <c r="G66" i="50" s="1"/>
  <c r="F40" i="50"/>
  <c r="F66" i="50" s="1"/>
  <c r="E40" i="50"/>
  <c r="D40" i="50"/>
  <c r="S38" i="50"/>
  <c r="R38" i="50"/>
  <c r="O38" i="50"/>
  <c r="N38" i="50"/>
  <c r="M38" i="50"/>
  <c r="L38" i="50"/>
  <c r="I38" i="50"/>
  <c r="H38" i="50"/>
  <c r="G38" i="50"/>
  <c r="F38" i="50"/>
  <c r="E38" i="50"/>
  <c r="D38" i="50"/>
  <c r="W29" i="50"/>
  <c r="V29" i="50"/>
  <c r="U29" i="50"/>
  <c r="T29" i="50"/>
  <c r="Q29" i="50"/>
  <c r="P29" i="50"/>
  <c r="I29" i="50"/>
  <c r="H29" i="50"/>
  <c r="G29" i="50"/>
  <c r="E29" i="50"/>
  <c r="D29" i="50"/>
  <c r="Q21" i="50"/>
  <c r="P21" i="50"/>
  <c r="I21" i="50"/>
  <c r="H21" i="50"/>
  <c r="F21" i="50"/>
  <c r="E21" i="50"/>
  <c r="D21" i="50"/>
  <c r="Q28" i="50"/>
  <c r="P28" i="50"/>
  <c r="Q27" i="50"/>
  <c r="P27" i="50"/>
  <c r="W25" i="50"/>
  <c r="V25" i="50"/>
  <c r="U25" i="50"/>
  <c r="T25" i="50"/>
  <c r="Q25" i="50"/>
  <c r="P25" i="50"/>
  <c r="W24" i="50"/>
  <c r="V24" i="50"/>
  <c r="U24" i="50"/>
  <c r="T24" i="50"/>
  <c r="Q24" i="50"/>
  <c r="P24" i="50"/>
  <c r="I24" i="50"/>
  <c r="H24" i="50"/>
  <c r="G24" i="50"/>
  <c r="F24" i="50"/>
  <c r="E24" i="50"/>
  <c r="D24" i="50"/>
  <c r="E16" i="50"/>
  <c r="P17" i="50"/>
  <c r="E43" i="101"/>
  <c r="C43" i="101" s="1"/>
  <c r="D43" i="101" s="1"/>
  <c r="E42" i="101"/>
  <c r="C42" i="101" s="1"/>
  <c r="D42" i="101" s="1"/>
  <c r="E41" i="101"/>
  <c r="C41" i="101" s="1"/>
  <c r="D41" i="101" s="1"/>
  <c r="E40" i="101"/>
  <c r="C40" i="101" s="1"/>
  <c r="D40" i="101" s="1"/>
  <c r="E39" i="101"/>
  <c r="C39" i="101" s="1"/>
  <c r="D39" i="101" s="1"/>
  <c r="E38" i="101"/>
  <c r="C38" i="101" s="1"/>
  <c r="D38" i="101" s="1"/>
  <c r="E30" i="101"/>
  <c r="C30" i="101" s="1"/>
  <c r="D30" i="101" s="1"/>
  <c r="C34" i="101"/>
  <c r="D34" i="101" s="1"/>
  <c r="C32" i="101"/>
  <c r="D32" i="101" s="1"/>
  <c r="C31" i="101"/>
  <c r="D31" i="101" s="1"/>
  <c r="C29" i="101"/>
  <c r="D29" i="101" s="1"/>
  <c r="C28" i="101"/>
  <c r="D28" i="101" s="1"/>
  <c r="C27" i="101"/>
  <c r="D27" i="101" s="1"/>
  <c r="E33" i="101"/>
  <c r="C33" i="101" s="1"/>
  <c r="D33" i="101" s="1"/>
  <c r="C5" i="101" l="1"/>
  <c r="C5" i="100"/>
  <c r="C48" i="101"/>
  <c r="C14" i="100"/>
  <c r="C46" i="101" l="1"/>
  <c r="C47" i="101"/>
  <c r="D72" i="100"/>
  <c r="D71" i="100"/>
  <c r="D70" i="100"/>
  <c r="D69" i="100"/>
  <c r="D68" i="100"/>
  <c r="D67" i="100"/>
  <c r="D66" i="100"/>
  <c r="C66" i="100" s="1"/>
  <c r="D65" i="100"/>
  <c r="D64" i="100"/>
  <c r="D63" i="100"/>
  <c r="D60" i="100"/>
  <c r="C60" i="100" s="1"/>
  <c r="D57" i="100"/>
  <c r="D56" i="100"/>
  <c r="C56" i="100" s="1"/>
  <c r="D55" i="100"/>
  <c r="D54" i="100"/>
  <c r="D53" i="100"/>
  <c r="D52" i="100"/>
  <c r="D51" i="100"/>
  <c r="D50" i="100"/>
  <c r="D49" i="100"/>
  <c r="D48" i="100"/>
  <c r="C48" i="100" s="1"/>
  <c r="D47" i="100"/>
  <c r="D46" i="100"/>
  <c r="C46" i="100" s="1"/>
  <c r="D45" i="100"/>
  <c r="D44" i="100"/>
  <c r="D43" i="100"/>
  <c r="D42" i="100"/>
  <c r="C42" i="100" s="1"/>
  <c r="D41" i="100"/>
  <c r="D40" i="100"/>
  <c r="C40" i="100" s="1"/>
  <c r="D39" i="100"/>
  <c r="D38" i="100"/>
  <c r="D37" i="100"/>
  <c r="C37" i="100" s="1"/>
  <c r="D36" i="100"/>
  <c r="D35" i="100"/>
  <c r="D34" i="100"/>
  <c r="D30" i="100"/>
  <c r="S56" i="50" s="1"/>
  <c r="D29" i="100"/>
  <c r="D28" i="100"/>
  <c r="O56" i="50" s="1"/>
  <c r="D27" i="100"/>
  <c r="D26" i="100"/>
  <c r="K56" i="50" s="1"/>
  <c r="D25" i="100"/>
  <c r="D24" i="100"/>
  <c r="G56" i="50" s="1"/>
  <c r="D23" i="100"/>
  <c r="E56" i="50" s="1"/>
  <c r="C72" i="100"/>
  <c r="C68" i="100" l="1"/>
  <c r="T56" i="50" s="1"/>
  <c r="U56" i="50"/>
  <c r="C29" i="100"/>
  <c r="P56" i="50" s="1"/>
  <c r="Q56" i="50"/>
  <c r="C27" i="100"/>
  <c r="L56" i="50" s="1"/>
  <c r="M56" i="50"/>
  <c r="C25" i="100"/>
  <c r="H56" i="50" s="1"/>
  <c r="I56" i="50"/>
  <c r="C53" i="100"/>
  <c r="W56" i="50"/>
  <c r="C49" i="101"/>
  <c r="X57" i="50" s="1"/>
  <c r="C23" i="100"/>
  <c r="D56" i="50" s="1"/>
  <c r="C34" i="100"/>
  <c r="C38" i="100"/>
  <c r="C44" i="100"/>
  <c r="C50" i="100"/>
  <c r="C54" i="100"/>
  <c r="C64" i="100"/>
  <c r="C70" i="100"/>
  <c r="C76" i="100"/>
  <c r="C26" i="100"/>
  <c r="J56" i="50" s="1"/>
  <c r="C30" i="100"/>
  <c r="R56" i="50" s="1"/>
  <c r="C36" i="100"/>
  <c r="C41" i="100"/>
  <c r="C43" i="100"/>
  <c r="C49" i="100"/>
  <c r="C52" i="100"/>
  <c r="C57" i="100"/>
  <c r="C63" i="100"/>
  <c r="C69" i="100"/>
  <c r="C24" i="100"/>
  <c r="F56" i="50" s="1"/>
  <c r="C39" i="100"/>
  <c r="C45" i="100"/>
  <c r="C55" i="100"/>
  <c r="C65" i="100"/>
  <c r="C77" i="100"/>
  <c r="C28" i="100"/>
  <c r="N56" i="50" s="1"/>
  <c r="C47" i="100"/>
  <c r="C67" i="100"/>
  <c r="C78" i="100"/>
  <c r="X56" i="50" s="1"/>
  <c r="C35" i="100"/>
  <c r="C51" i="100"/>
  <c r="C71" i="100"/>
  <c r="C75" i="100"/>
  <c r="V56" i="50" l="1"/>
  <c r="D26" i="85"/>
  <c r="D199" i="81"/>
  <c r="D68" i="81"/>
  <c r="D35" i="81"/>
  <c r="D32" i="98"/>
  <c r="D32" i="19"/>
  <c r="E29" i="88"/>
  <c r="N40" i="50"/>
  <c r="N66" i="50" s="1"/>
  <c r="R40" i="50"/>
  <c r="R66" i="50" s="1"/>
  <c r="C28" i="88"/>
  <c r="D28" i="88"/>
  <c r="C27" i="88"/>
  <c r="D27" i="88"/>
  <c r="D26" i="88"/>
  <c r="C26" i="88"/>
  <c r="E106" i="88"/>
  <c r="E105" i="88"/>
  <c r="E104" i="88"/>
  <c r="E49" i="88" s="1"/>
  <c r="E103" i="88"/>
  <c r="E102" i="88"/>
  <c r="E48" i="88" s="1"/>
  <c r="E101" i="88"/>
  <c r="E100" i="88"/>
  <c r="E99" i="88"/>
  <c r="E98" i="88"/>
  <c r="E97" i="88"/>
  <c r="E94" i="88"/>
  <c r="E45" i="88" s="1"/>
  <c r="E91" i="88"/>
  <c r="E90" i="88"/>
  <c r="E89" i="88"/>
  <c r="E88" i="88"/>
  <c r="E87" i="88"/>
  <c r="E85" i="88"/>
  <c r="E84" i="88"/>
  <c r="E83" i="88"/>
  <c r="E82" i="88"/>
  <c r="E81" i="88"/>
  <c r="E80" i="88"/>
  <c r="E79" i="88"/>
  <c r="E78" i="88"/>
  <c r="E77" i="88"/>
  <c r="E76" i="88"/>
  <c r="E75" i="88"/>
  <c r="E74" i="88"/>
  <c r="E73" i="88"/>
  <c r="E72" i="88"/>
  <c r="E71" i="88"/>
  <c r="E70" i="88"/>
  <c r="E69" i="88"/>
  <c r="E68" i="88"/>
  <c r="E40" i="88"/>
  <c r="D135" i="46"/>
  <c r="D134" i="46"/>
  <c r="D133" i="46"/>
  <c r="D108" i="46"/>
  <c r="D107" i="46"/>
  <c r="D106" i="46"/>
  <c r="E50" i="46"/>
  <c r="D50" i="46" s="1"/>
  <c r="E49" i="46"/>
  <c r="D49" i="46" s="1"/>
  <c r="E48" i="46"/>
  <c r="E38" i="46"/>
  <c r="E27" i="46"/>
  <c r="D27" i="46" s="1"/>
  <c r="K38" i="50" s="1"/>
  <c r="D61" i="46"/>
  <c r="E120" i="46"/>
  <c r="D120" i="46" s="1"/>
  <c r="D130" i="46"/>
  <c r="D129" i="46"/>
  <c r="D128" i="46"/>
  <c r="D127" i="46"/>
  <c r="D124" i="46"/>
  <c r="E103" i="46"/>
  <c r="D103" i="46" s="1"/>
  <c r="E102" i="46"/>
  <c r="D102" i="46" s="1"/>
  <c r="D101" i="46"/>
  <c r="D45" i="46" s="1"/>
  <c r="E100" i="46"/>
  <c r="D100" i="46" s="1"/>
  <c r="D99" i="46"/>
  <c r="E98" i="46"/>
  <c r="D98" i="46" s="1"/>
  <c r="E97" i="46"/>
  <c r="D97" i="46" s="1"/>
  <c r="E96" i="46"/>
  <c r="D96" i="46" s="1"/>
  <c r="E95" i="46"/>
  <c r="D95" i="46" s="1"/>
  <c r="E94" i="46"/>
  <c r="D94" i="46" s="1"/>
  <c r="D91" i="46"/>
  <c r="E88" i="46"/>
  <c r="D88" i="46" s="1"/>
  <c r="E87" i="46"/>
  <c r="D87" i="46" s="1"/>
  <c r="E86" i="46"/>
  <c r="D86" i="46" s="1"/>
  <c r="E85" i="46"/>
  <c r="D85" i="46" s="1"/>
  <c r="E84" i="46"/>
  <c r="D84" i="46" s="1"/>
  <c r="D83" i="46"/>
  <c r="E82" i="46"/>
  <c r="D82" i="46" s="1"/>
  <c r="E81" i="46"/>
  <c r="D81" i="46" s="1"/>
  <c r="E80" i="46"/>
  <c r="D80" i="46" s="1"/>
  <c r="E79" i="46"/>
  <c r="D79" i="46" s="1"/>
  <c r="E78" i="46"/>
  <c r="D78" i="46" s="1"/>
  <c r="E77" i="46"/>
  <c r="D77" i="46" s="1"/>
  <c r="E76" i="46"/>
  <c r="D76" i="46" s="1"/>
  <c r="E75" i="46"/>
  <c r="D75" i="46" s="1"/>
  <c r="E74" i="46"/>
  <c r="D74" i="46" s="1"/>
  <c r="E73" i="46"/>
  <c r="D73" i="46" s="1"/>
  <c r="E72" i="46"/>
  <c r="D72" i="46" s="1"/>
  <c r="E71" i="46"/>
  <c r="D71" i="46" s="1"/>
  <c r="E70" i="46"/>
  <c r="D70" i="46" s="1"/>
  <c r="E69" i="46"/>
  <c r="D69" i="46" s="1"/>
  <c r="E68" i="46"/>
  <c r="D68" i="46" s="1"/>
  <c r="E67" i="46"/>
  <c r="D67" i="46" s="1"/>
  <c r="E66" i="46"/>
  <c r="D66" i="46" s="1"/>
  <c r="E65" i="46"/>
  <c r="D65" i="46" s="1"/>
  <c r="D40" i="46"/>
  <c r="D39" i="46"/>
  <c r="D38" i="46"/>
  <c r="E102" i="98"/>
  <c r="E101" i="98"/>
  <c r="E100" i="98"/>
  <c r="E99" i="98"/>
  <c r="E98" i="98"/>
  <c r="E97" i="98"/>
  <c r="E96" i="98"/>
  <c r="E95" i="98"/>
  <c r="E94" i="98"/>
  <c r="E93" i="98"/>
  <c r="E90" i="98"/>
  <c r="E87" i="98"/>
  <c r="E86" i="98"/>
  <c r="E85" i="98"/>
  <c r="E84" i="98"/>
  <c r="E83" i="98"/>
  <c r="E82" i="98"/>
  <c r="E81" i="98"/>
  <c r="E80" i="98"/>
  <c r="E79" i="98"/>
  <c r="E78" i="98"/>
  <c r="E77" i="98"/>
  <c r="E76" i="98"/>
  <c r="E75" i="98"/>
  <c r="E74" i="98"/>
  <c r="E73" i="98"/>
  <c r="E72" i="98"/>
  <c r="E71" i="98"/>
  <c r="E70" i="98"/>
  <c r="E69" i="98"/>
  <c r="E68" i="98"/>
  <c r="E67" i="98"/>
  <c r="E66" i="98"/>
  <c r="E65" i="98"/>
  <c r="E64" i="98"/>
  <c r="E53" i="98"/>
  <c r="E44" i="98"/>
  <c r="C34" i="98"/>
  <c r="C33" i="98"/>
  <c r="R29" i="50" s="1"/>
  <c r="C31" i="98"/>
  <c r="N29" i="50" s="1"/>
  <c r="C30" i="98"/>
  <c r="L29" i="50" s="1"/>
  <c r="C29" i="98"/>
  <c r="J29" i="50" s="1"/>
  <c r="D26" i="31"/>
  <c r="E53" i="88" l="1"/>
  <c r="E52" i="88"/>
  <c r="E54" i="88"/>
  <c r="E30" i="46"/>
  <c r="D30" i="46" s="1"/>
  <c r="Q38" i="50" s="1"/>
  <c r="D60" i="46"/>
  <c r="E45" i="46"/>
  <c r="E41" i="46"/>
  <c r="D41" i="46"/>
  <c r="D44" i="46"/>
  <c r="U38" i="50" s="1"/>
  <c r="D109" i="46"/>
  <c r="D136" i="46"/>
  <c r="E35" i="46"/>
  <c r="D35" i="46" s="1"/>
  <c r="W38" i="50" s="1"/>
  <c r="E44" i="46"/>
  <c r="D48" i="46"/>
  <c r="E52" i="98"/>
  <c r="E48" i="98"/>
  <c r="E38" i="98"/>
  <c r="E47" i="98"/>
  <c r="E51" i="98"/>
  <c r="C23" i="86"/>
  <c r="D23" i="86"/>
  <c r="C24" i="86"/>
  <c r="D24" i="86"/>
  <c r="D22" i="86"/>
  <c r="C22" i="86"/>
  <c r="E46" i="86"/>
  <c r="D46" i="86" s="1"/>
  <c r="W7" i="99"/>
  <c r="W8" i="99"/>
  <c r="W9" i="99"/>
  <c r="W10" i="99"/>
  <c r="W11" i="99"/>
  <c r="W12" i="99"/>
  <c r="W13" i="99"/>
  <c r="W14" i="99"/>
  <c r="W15" i="99"/>
  <c r="W16" i="99"/>
  <c r="W17" i="99"/>
  <c r="W18" i="99"/>
  <c r="W19" i="99"/>
  <c r="W20" i="99"/>
  <c r="W21" i="99"/>
  <c r="W22" i="99"/>
  <c r="W23" i="99"/>
  <c r="W24" i="99"/>
  <c r="W25" i="99"/>
  <c r="W26" i="99"/>
  <c r="W27" i="99"/>
  <c r="W28" i="99"/>
  <c r="W29" i="99"/>
  <c r="W30" i="99"/>
  <c r="W31" i="99"/>
  <c r="W32" i="99"/>
  <c r="W33" i="99"/>
  <c r="W34" i="99"/>
  <c r="W35" i="99"/>
  <c r="W36" i="99"/>
  <c r="W37" i="99"/>
  <c r="W38" i="99"/>
  <c r="W39" i="99"/>
  <c r="W40" i="99"/>
  <c r="W41" i="99"/>
  <c r="W42" i="99"/>
  <c r="W43" i="99"/>
  <c r="W45" i="99"/>
  <c r="W46" i="99"/>
  <c r="W47" i="99"/>
  <c r="W48" i="99"/>
  <c r="W49" i="99"/>
  <c r="W50" i="99"/>
  <c r="W51" i="99"/>
  <c r="W52" i="99"/>
  <c r="W53" i="99"/>
  <c r="W54" i="99"/>
  <c r="W55" i="99"/>
  <c r="W56" i="99"/>
  <c r="W57" i="99"/>
  <c r="W58" i="99"/>
  <c r="W60" i="99"/>
  <c r="W61" i="99"/>
  <c r="W62" i="99"/>
  <c r="W63" i="99"/>
  <c r="W64" i="99"/>
  <c r="W65" i="99"/>
  <c r="W66" i="99"/>
  <c r="W67" i="99"/>
  <c r="W68" i="99"/>
  <c r="W69" i="99"/>
  <c r="W70" i="99"/>
  <c r="W71" i="99"/>
  <c r="W72" i="99"/>
  <c r="W73" i="99"/>
  <c r="W6" i="99"/>
  <c r="D182" i="81"/>
  <c r="C182" i="81" s="1"/>
  <c r="D181" i="81"/>
  <c r="C181" i="81" s="1"/>
  <c r="D180" i="81"/>
  <c r="C180" i="81" s="1"/>
  <c r="D177" i="81"/>
  <c r="C177" i="81"/>
  <c r="D176" i="81"/>
  <c r="C176" i="81" s="1"/>
  <c r="D175" i="81"/>
  <c r="C175" i="81"/>
  <c r="D174" i="81"/>
  <c r="C174" i="81" s="1"/>
  <c r="D167" i="81"/>
  <c r="E166" i="81"/>
  <c r="D166" i="81" s="1"/>
  <c r="C166" i="81" s="1"/>
  <c r="D171" i="81"/>
  <c r="D165" i="81"/>
  <c r="D164" i="81"/>
  <c r="M27" i="50" s="1"/>
  <c r="D163" i="81"/>
  <c r="D162" i="81"/>
  <c r="D161" i="81"/>
  <c r="D160" i="81"/>
  <c r="E27" i="50" s="1"/>
  <c r="D149" i="81"/>
  <c r="C149" i="81" s="1"/>
  <c r="D148" i="81"/>
  <c r="C148" i="81" s="1"/>
  <c r="D147" i="81"/>
  <c r="E144" i="81"/>
  <c r="D144" i="81" s="1"/>
  <c r="C144" i="81" s="1"/>
  <c r="E143" i="81"/>
  <c r="D143" i="81"/>
  <c r="C143" i="81" s="1"/>
  <c r="D142" i="81"/>
  <c r="C142" i="81" s="1"/>
  <c r="E141" i="81"/>
  <c r="D141" i="81" s="1"/>
  <c r="C141" i="81" s="1"/>
  <c r="D140" i="81"/>
  <c r="E139" i="81"/>
  <c r="D139" i="81"/>
  <c r="C139" i="81" s="1"/>
  <c r="E138" i="81"/>
  <c r="D138" i="81"/>
  <c r="C138" i="81"/>
  <c r="E137" i="81"/>
  <c r="D137" i="81"/>
  <c r="C137" i="81"/>
  <c r="E136" i="81"/>
  <c r="D136" i="81" s="1"/>
  <c r="C136" i="81" s="1"/>
  <c r="E135" i="81"/>
  <c r="D135" i="81"/>
  <c r="C135" i="81" s="1"/>
  <c r="D132" i="81"/>
  <c r="C132" i="81" s="1"/>
  <c r="E129" i="81"/>
  <c r="D129" i="81"/>
  <c r="C129" i="81"/>
  <c r="E128" i="81"/>
  <c r="D128" i="81" s="1"/>
  <c r="C128" i="81" s="1"/>
  <c r="E127" i="81"/>
  <c r="D127" i="81"/>
  <c r="C127" i="81" s="1"/>
  <c r="E126" i="81"/>
  <c r="D126" i="81"/>
  <c r="C126" i="81"/>
  <c r="E125" i="81"/>
  <c r="D125" i="81"/>
  <c r="C125" i="81"/>
  <c r="D124" i="81"/>
  <c r="E123" i="81"/>
  <c r="D123" i="81"/>
  <c r="C123" i="81" s="1"/>
  <c r="E122" i="81"/>
  <c r="D122" i="81"/>
  <c r="C122" i="81"/>
  <c r="E121" i="81"/>
  <c r="D121" i="81"/>
  <c r="C121" i="81"/>
  <c r="E120" i="81"/>
  <c r="D120" i="81" s="1"/>
  <c r="C120" i="81" s="1"/>
  <c r="E119" i="81"/>
  <c r="D119" i="81"/>
  <c r="C119" i="81" s="1"/>
  <c r="E118" i="81"/>
  <c r="D118" i="81"/>
  <c r="C118" i="81"/>
  <c r="E117" i="81"/>
  <c r="D117" i="81" s="1"/>
  <c r="C117" i="81" s="1"/>
  <c r="E116" i="81"/>
  <c r="D116" i="81" s="1"/>
  <c r="C116" i="81" s="1"/>
  <c r="E115" i="81"/>
  <c r="D115" i="81"/>
  <c r="C115" i="81" s="1"/>
  <c r="E114" i="81"/>
  <c r="D114" i="81"/>
  <c r="C114" i="81"/>
  <c r="E113" i="81"/>
  <c r="D113" i="81" s="1"/>
  <c r="C113" i="81" s="1"/>
  <c r="E112" i="81"/>
  <c r="D112" i="81" s="1"/>
  <c r="C112" i="81" s="1"/>
  <c r="E111" i="81"/>
  <c r="D111" i="81"/>
  <c r="C111" i="81" s="1"/>
  <c r="E110" i="81"/>
  <c r="D110" i="81"/>
  <c r="C110" i="81"/>
  <c r="E109" i="81"/>
  <c r="D109" i="81" s="1"/>
  <c r="C109" i="81" s="1"/>
  <c r="E108" i="81"/>
  <c r="D108" i="81" s="1"/>
  <c r="C108" i="81" s="1"/>
  <c r="E107" i="81"/>
  <c r="D107" i="81"/>
  <c r="C107" i="81" s="1"/>
  <c r="E106" i="81"/>
  <c r="D106" i="81"/>
  <c r="C106" i="81"/>
  <c r="D102" i="81"/>
  <c r="D101" i="81"/>
  <c r="D100" i="81"/>
  <c r="D99" i="81"/>
  <c r="M26" i="50" s="1"/>
  <c r="D98" i="81"/>
  <c r="K26" i="50" s="1"/>
  <c r="D97" i="81"/>
  <c r="D96" i="81"/>
  <c r="D95" i="81"/>
  <c r="E26" i="50" s="1"/>
  <c r="D64" i="81"/>
  <c r="D63" i="81"/>
  <c r="D62" i="81"/>
  <c r="D85" i="81" s="1"/>
  <c r="C167" i="81" l="1"/>
  <c r="R27" i="50" s="1"/>
  <c r="S27" i="50"/>
  <c r="C171" i="81"/>
  <c r="V27" i="50" s="1"/>
  <c r="W27" i="50"/>
  <c r="C165" i="81"/>
  <c r="N27" i="50" s="1"/>
  <c r="O27" i="50"/>
  <c r="C164" i="81"/>
  <c r="L27" i="50" s="1"/>
  <c r="C163" i="81"/>
  <c r="J27" i="50" s="1"/>
  <c r="K27" i="50"/>
  <c r="C162" i="81"/>
  <c r="H27" i="50" s="1"/>
  <c r="I27" i="50"/>
  <c r="C161" i="81"/>
  <c r="F27" i="50" s="1"/>
  <c r="G27" i="50"/>
  <c r="C160" i="81"/>
  <c r="D27" i="50" s="1"/>
  <c r="C140" i="81"/>
  <c r="T26" i="50" s="1"/>
  <c r="U26" i="50"/>
  <c r="C124" i="81"/>
  <c r="W26" i="50"/>
  <c r="C102" i="81"/>
  <c r="R26" i="50" s="1"/>
  <c r="S26" i="50"/>
  <c r="C101" i="81"/>
  <c r="P26" i="50" s="1"/>
  <c r="Q26" i="50"/>
  <c r="C100" i="81"/>
  <c r="N26" i="50" s="1"/>
  <c r="O26" i="50"/>
  <c r="C99" i="81"/>
  <c r="L26" i="50" s="1"/>
  <c r="C98" i="81"/>
  <c r="J26" i="50" s="1"/>
  <c r="C97" i="81"/>
  <c r="H26" i="50" s="1"/>
  <c r="I26" i="50"/>
  <c r="C96" i="81"/>
  <c r="F26" i="50" s="1"/>
  <c r="G26" i="50"/>
  <c r="C95" i="81"/>
  <c r="D26" i="50" s="1"/>
  <c r="D51" i="46"/>
  <c r="Y38" i="50" s="1"/>
  <c r="D49" i="86"/>
  <c r="D150" i="81"/>
  <c r="C147" i="81"/>
  <c r="D183" i="81"/>
  <c r="D76" i="81"/>
  <c r="D80" i="81"/>
  <c r="D84" i="81"/>
  <c r="D74" i="81"/>
  <c r="D78" i="81"/>
  <c r="D82" i="81"/>
  <c r="D75" i="81"/>
  <c r="D77" i="81"/>
  <c r="D79" i="81"/>
  <c r="D81" i="81"/>
  <c r="D83" i="81"/>
  <c r="C12" i="98"/>
  <c r="C16" i="98" s="1"/>
  <c r="C15" i="98"/>
  <c r="C5" i="98"/>
  <c r="B5" i="98"/>
  <c r="C4" i="98"/>
  <c r="B4" i="98"/>
  <c r="C3" i="98"/>
  <c r="B3" i="98"/>
  <c r="C2" i="98"/>
  <c r="B2" i="98"/>
  <c r="C29" i="19"/>
  <c r="J21" i="50" s="1"/>
  <c r="C34" i="19"/>
  <c r="C33" i="19"/>
  <c r="R21" i="50" s="1"/>
  <c r="C31" i="19"/>
  <c r="N21" i="50" s="1"/>
  <c r="C30" i="19"/>
  <c r="L21" i="50" s="1"/>
  <c r="V26" i="50" l="1"/>
  <c r="C183" i="81"/>
  <c r="X27" i="50" s="1"/>
  <c r="Y27" i="50"/>
  <c r="C150" i="81"/>
  <c r="X26" i="50" s="1"/>
  <c r="Y26" i="50"/>
  <c r="D124" i="98"/>
  <c r="C124" i="98" s="1"/>
  <c r="D119" i="98"/>
  <c r="C119" i="98" s="1"/>
  <c r="D157" i="98"/>
  <c r="C157" i="98" s="1"/>
  <c r="D123" i="98"/>
  <c r="C123" i="98" s="1"/>
  <c r="D41" i="98"/>
  <c r="C41" i="98" s="1"/>
  <c r="D43" i="98"/>
  <c r="C43" i="98" s="1"/>
  <c r="D122" i="98"/>
  <c r="C122" i="98" s="1"/>
  <c r="D156" i="98"/>
  <c r="D125" i="98"/>
  <c r="C125" i="98" s="1"/>
  <c r="D42" i="98"/>
  <c r="C42" i="98" s="1"/>
  <c r="D129" i="98"/>
  <c r="C129" i="98" s="1"/>
  <c r="D128" i="98"/>
  <c r="D158" i="98"/>
  <c r="C158" i="98" s="1"/>
  <c r="D130" i="98"/>
  <c r="C130" i="98" s="1"/>
  <c r="D85" i="98"/>
  <c r="C85" i="98" s="1"/>
  <c r="D76" i="98"/>
  <c r="C76" i="98" s="1"/>
  <c r="D68" i="98"/>
  <c r="C68" i="98" s="1"/>
  <c r="D79" i="98"/>
  <c r="C79" i="98" s="1"/>
  <c r="D77" i="98"/>
  <c r="C77" i="98" s="1"/>
  <c r="D107" i="98"/>
  <c r="C107" i="98" s="1"/>
  <c r="D101" i="98"/>
  <c r="C101" i="98" s="1"/>
  <c r="D90" i="98"/>
  <c r="D80" i="98"/>
  <c r="C80" i="98" s="1"/>
  <c r="D75" i="98"/>
  <c r="C75" i="98" s="1"/>
  <c r="D73" i="98"/>
  <c r="C73" i="98" s="1"/>
  <c r="D64" i="98"/>
  <c r="C64" i="98" s="1"/>
  <c r="D96" i="98"/>
  <c r="C96" i="98" s="1"/>
  <c r="D69" i="98"/>
  <c r="C69" i="98" s="1"/>
  <c r="D93" i="98"/>
  <c r="C93" i="98" s="1"/>
  <c r="D65" i="98"/>
  <c r="C65" i="98" s="1"/>
  <c r="D83" i="98"/>
  <c r="C83" i="98" s="1"/>
  <c r="D70" i="98"/>
  <c r="C70" i="98" s="1"/>
  <c r="D94" i="98"/>
  <c r="C94" i="98" s="1"/>
  <c r="D105" i="98"/>
  <c r="D95" i="98"/>
  <c r="C95" i="98" s="1"/>
  <c r="D102" i="98"/>
  <c r="C102" i="98" s="1"/>
  <c r="D97" i="98"/>
  <c r="C97" i="98" s="1"/>
  <c r="D81" i="98"/>
  <c r="C81" i="98" s="1"/>
  <c r="D78" i="98"/>
  <c r="C78" i="98" s="1"/>
  <c r="D66" i="98"/>
  <c r="C66" i="98" s="1"/>
  <c r="D99" i="98"/>
  <c r="C99" i="98" s="1"/>
  <c r="D100" i="98"/>
  <c r="D53" i="98"/>
  <c r="C53" i="98" s="1"/>
  <c r="D86" i="98"/>
  <c r="C86" i="98" s="1"/>
  <c r="D72" i="98"/>
  <c r="C72" i="98" s="1"/>
  <c r="D84" i="98"/>
  <c r="D98" i="98"/>
  <c r="D71" i="98"/>
  <c r="C71" i="98" s="1"/>
  <c r="D67" i="98"/>
  <c r="C67" i="98" s="1"/>
  <c r="D74" i="98"/>
  <c r="C74" i="98" s="1"/>
  <c r="D106" i="98"/>
  <c r="C106" i="98" s="1"/>
  <c r="D82" i="98"/>
  <c r="C82" i="98" s="1"/>
  <c r="D87" i="98"/>
  <c r="C87" i="98" s="1"/>
  <c r="D52" i="98"/>
  <c r="C52" i="98" s="1"/>
  <c r="D51" i="98"/>
  <c r="D29" i="98"/>
  <c r="K29" i="50" s="1"/>
  <c r="D31" i="98"/>
  <c r="O29" i="50" s="1"/>
  <c r="D33" i="98"/>
  <c r="S29" i="50" s="1"/>
  <c r="D30" i="98"/>
  <c r="M29" i="50" s="1"/>
  <c r="D34" i="98"/>
  <c r="D38" i="98"/>
  <c r="C38" i="98" s="1"/>
  <c r="C17" i="98"/>
  <c r="C128" i="98" l="1"/>
  <c r="D131" i="98"/>
  <c r="C131" i="98" s="1"/>
  <c r="D152" i="98"/>
  <c r="D153" i="98"/>
  <c r="D145" i="98"/>
  <c r="D151" i="98"/>
  <c r="D143" i="98"/>
  <c r="D147" i="98"/>
  <c r="D149" i="98"/>
  <c r="C84" i="98"/>
  <c r="D144" i="98"/>
  <c r="D146" i="98"/>
  <c r="D142" i="98"/>
  <c r="D148" i="98"/>
  <c r="D150" i="98"/>
  <c r="C100" i="98"/>
  <c r="C48" i="98" s="1"/>
  <c r="D48" i="98"/>
  <c r="C105" i="98"/>
  <c r="D108" i="98"/>
  <c r="C108" i="98" s="1"/>
  <c r="D44" i="98"/>
  <c r="C90" i="98"/>
  <c r="C44" i="98" s="1"/>
  <c r="D159" i="98"/>
  <c r="C159" i="98" s="1"/>
  <c r="C156" i="98"/>
  <c r="C51" i="98"/>
  <c r="D54" i="98"/>
  <c r="D47" i="98"/>
  <c r="C98" i="98"/>
  <c r="C47" i="98" s="1"/>
  <c r="C54" i="98" l="1"/>
  <c r="X29" i="50" s="1"/>
  <c r="Y29" i="50"/>
  <c r="C153" i="98"/>
  <c r="C148" i="98"/>
  <c r="C149" i="98"/>
  <c r="C142" i="98"/>
  <c r="C150" i="98"/>
  <c r="C143" i="98"/>
  <c r="C151" i="98"/>
  <c r="C146" i="98"/>
  <c r="C147" i="98"/>
  <c r="C144" i="98"/>
  <c r="C152" i="98"/>
  <c r="C145" i="98"/>
  <c r="K34" i="96" l="1"/>
  <c r="I34" i="96"/>
  <c r="E34" i="96"/>
  <c r="C34" i="96"/>
  <c r="K33" i="96"/>
  <c r="I33" i="96"/>
  <c r="E33" i="96"/>
  <c r="C33" i="96"/>
  <c r="I18" i="96"/>
  <c r="G18" i="96"/>
  <c r="E18" i="96"/>
  <c r="C18" i="96"/>
  <c r="I17" i="96"/>
  <c r="E17" i="96"/>
  <c r="C17" i="96"/>
  <c r="I16" i="96"/>
  <c r="G16" i="96"/>
  <c r="E16" i="96"/>
  <c r="D27" i="86" s="1"/>
  <c r="C16" i="96"/>
  <c r="G19" i="96" l="1"/>
  <c r="C13" i="95"/>
  <c r="C24" i="95" s="1"/>
  <c r="C42" i="95" l="1"/>
  <c r="J42" i="95" s="1"/>
  <c r="E48" i="50" s="1"/>
  <c r="D48" i="50" s="1"/>
  <c r="L24" i="95"/>
  <c r="J24" i="95"/>
  <c r="K24" i="95"/>
  <c r="C30" i="95"/>
  <c r="C29" i="95"/>
  <c r="C32" i="95"/>
  <c r="C28" i="95"/>
  <c r="C31" i="95"/>
  <c r="C27" i="95"/>
  <c r="C23" i="95"/>
  <c r="C26" i="95"/>
  <c r="C22" i="95"/>
  <c r="C25" i="95"/>
  <c r="C12" i="95"/>
  <c r="C5" i="95"/>
  <c r="B5" i="95"/>
  <c r="C4" i="95"/>
  <c r="B4" i="95"/>
  <c r="C3" i="95"/>
  <c r="B3" i="95"/>
  <c r="C2" i="95"/>
  <c r="B2" i="95"/>
  <c r="L15" i="29"/>
  <c r="C12" i="93"/>
  <c r="I18" i="93"/>
  <c r="C17" i="93" s="1"/>
  <c r="D27" i="93" s="1"/>
  <c r="C27" i="93" s="1"/>
  <c r="C5" i="93"/>
  <c r="B5" i="93"/>
  <c r="C4" i="93"/>
  <c r="B4" i="93"/>
  <c r="C3" i="93"/>
  <c r="B3" i="93"/>
  <c r="C2" i="93"/>
  <c r="B2" i="93"/>
  <c r="D28" i="92"/>
  <c r="E27" i="92"/>
  <c r="D27" i="92" s="1"/>
  <c r="C5" i="92"/>
  <c r="B5" i="92"/>
  <c r="C4" i="92"/>
  <c r="B4" i="92"/>
  <c r="C3" i="92"/>
  <c r="B3" i="92"/>
  <c r="C2" i="92"/>
  <c r="B2" i="92"/>
  <c r="L25" i="91"/>
  <c r="J23" i="91"/>
  <c r="J25" i="91"/>
  <c r="C28" i="91"/>
  <c r="F52" i="91"/>
  <c r="F53" i="91"/>
  <c r="F54" i="91"/>
  <c r="F55" i="91"/>
  <c r="F56" i="91"/>
  <c r="F57" i="91"/>
  <c r="F58" i="91"/>
  <c r="F59" i="91"/>
  <c r="F60" i="91"/>
  <c r="F61" i="91"/>
  <c r="F62" i="91"/>
  <c r="F63" i="91"/>
  <c r="F64" i="91"/>
  <c r="F65" i="91"/>
  <c r="F66" i="91"/>
  <c r="F67" i="91"/>
  <c r="F68" i="91"/>
  <c r="F69" i="91"/>
  <c r="F70" i="91"/>
  <c r="F71" i="91"/>
  <c r="F51" i="91"/>
  <c r="E52" i="91"/>
  <c r="E53" i="91"/>
  <c r="E54" i="91"/>
  <c r="E55" i="91"/>
  <c r="E56" i="91"/>
  <c r="E57" i="91"/>
  <c r="E58" i="91"/>
  <c r="E59" i="91"/>
  <c r="E60" i="91"/>
  <c r="E61" i="91"/>
  <c r="E62" i="91"/>
  <c r="E63" i="91"/>
  <c r="E64" i="91"/>
  <c r="E65" i="91"/>
  <c r="E66" i="91"/>
  <c r="E67" i="91"/>
  <c r="E68" i="91"/>
  <c r="E69" i="91"/>
  <c r="E70" i="91"/>
  <c r="E71" i="91"/>
  <c r="E51" i="91"/>
  <c r="D52" i="91"/>
  <c r="D53" i="91"/>
  <c r="D54" i="91"/>
  <c r="D55" i="91"/>
  <c r="D56" i="91"/>
  <c r="D57" i="91"/>
  <c r="D58" i="91"/>
  <c r="D59" i="91"/>
  <c r="D60" i="91"/>
  <c r="D61" i="91"/>
  <c r="D62" i="91"/>
  <c r="D63" i="91"/>
  <c r="D64" i="91"/>
  <c r="D65" i="91"/>
  <c r="D66" i="91"/>
  <c r="D67" i="91"/>
  <c r="D68" i="91"/>
  <c r="D69" i="91"/>
  <c r="D70" i="91"/>
  <c r="D71" i="91"/>
  <c r="D51" i="91"/>
  <c r="C71" i="91"/>
  <c r="C70" i="91"/>
  <c r="C69" i="91"/>
  <c r="C68" i="91"/>
  <c r="C67" i="91"/>
  <c r="C66" i="91"/>
  <c r="C65" i="91"/>
  <c r="C64" i="91"/>
  <c r="C63" i="91"/>
  <c r="C62" i="91"/>
  <c r="C61" i="91"/>
  <c r="D82" i="91"/>
  <c r="C60" i="91"/>
  <c r="C59" i="91"/>
  <c r="C58" i="91"/>
  <c r="C57" i="91"/>
  <c r="C56" i="91"/>
  <c r="C55" i="91"/>
  <c r="C54" i="91"/>
  <c r="B82" i="91"/>
  <c r="C53" i="91"/>
  <c r="C52" i="91"/>
  <c r="C51" i="91"/>
  <c r="E27" i="91"/>
  <c r="H27" i="91" s="1"/>
  <c r="J27" i="91" s="1"/>
  <c r="D22" i="91"/>
  <c r="E22" i="91" s="1"/>
  <c r="H22" i="91" s="1"/>
  <c r="L22" i="91" s="1"/>
  <c r="D23" i="91"/>
  <c r="E23" i="91" s="1"/>
  <c r="H23" i="91" s="1"/>
  <c r="L23" i="91" s="1"/>
  <c r="D24" i="91"/>
  <c r="E24" i="91" s="1"/>
  <c r="H24" i="91" s="1"/>
  <c r="I24" i="91" s="1"/>
  <c r="M24" i="91" s="1"/>
  <c r="D25" i="91"/>
  <c r="E25" i="91" s="1"/>
  <c r="H25" i="91" s="1"/>
  <c r="D26" i="91"/>
  <c r="E26" i="91" s="1"/>
  <c r="H26" i="91" s="1"/>
  <c r="J26" i="91" s="1"/>
  <c r="D27" i="91"/>
  <c r="D21" i="91"/>
  <c r="C12" i="91"/>
  <c r="C5" i="91"/>
  <c r="B5" i="91"/>
  <c r="C4" i="91"/>
  <c r="B4" i="91"/>
  <c r="C3" i="91"/>
  <c r="B3" i="91"/>
  <c r="C2" i="91"/>
  <c r="B2" i="91"/>
  <c r="I54" i="50" l="1"/>
  <c r="C28" i="92"/>
  <c r="G54" i="50"/>
  <c r="C27" i="92"/>
  <c r="F54" i="50" s="1"/>
  <c r="J22" i="91"/>
  <c r="D28" i="91"/>
  <c r="L27" i="91"/>
  <c r="J24" i="91"/>
  <c r="L24" i="91"/>
  <c r="L26" i="91"/>
  <c r="I25" i="91"/>
  <c r="E21" i="91"/>
  <c r="K24" i="91"/>
  <c r="I23" i="91"/>
  <c r="C44" i="93"/>
  <c r="L42" i="95"/>
  <c r="I48" i="50" s="1"/>
  <c r="H48" i="50" s="1"/>
  <c r="K42" i="95"/>
  <c r="G48" i="50" s="1"/>
  <c r="F48" i="50" s="1"/>
  <c r="L30" i="95"/>
  <c r="J30" i="95"/>
  <c r="K30" i="95"/>
  <c r="K26" i="95"/>
  <c r="L26" i="95"/>
  <c r="J26" i="95"/>
  <c r="K31" i="95"/>
  <c r="L31" i="95"/>
  <c r="J31" i="95"/>
  <c r="K23" i="95"/>
  <c r="L23" i="95"/>
  <c r="J23" i="95"/>
  <c r="L32" i="95"/>
  <c r="J32" i="95"/>
  <c r="K32" i="95"/>
  <c r="L22" i="95"/>
  <c r="J22" i="95"/>
  <c r="K22" i="95"/>
  <c r="L25" i="95"/>
  <c r="J25" i="95"/>
  <c r="K25" i="95"/>
  <c r="K27" i="95"/>
  <c r="L27" i="95"/>
  <c r="J27" i="95"/>
  <c r="L29" i="95"/>
  <c r="J29" i="95"/>
  <c r="K29" i="95"/>
  <c r="D31" i="93"/>
  <c r="C31" i="93" s="1"/>
  <c r="D29" i="93"/>
  <c r="C29" i="93" s="1"/>
  <c r="D24" i="93"/>
  <c r="O55" i="50" s="1"/>
  <c r="D28" i="93"/>
  <c r="C28" i="93" s="1"/>
  <c r="D30" i="93"/>
  <c r="C30" i="93" s="1"/>
  <c r="I36" i="93"/>
  <c r="C36" i="93" s="1"/>
  <c r="C24" i="93"/>
  <c r="D26" i="92"/>
  <c r="H54" i="50"/>
  <c r="I27" i="91"/>
  <c r="I26" i="91"/>
  <c r="I22" i="91"/>
  <c r="E54" i="50" l="1"/>
  <c r="C26" i="92"/>
  <c r="D54" i="50" s="1"/>
  <c r="V55" i="50"/>
  <c r="M22" i="91"/>
  <c r="K22" i="91"/>
  <c r="M26" i="91"/>
  <c r="K26" i="91"/>
  <c r="K23" i="91"/>
  <c r="M23" i="91"/>
  <c r="E28" i="91"/>
  <c r="K27" i="91"/>
  <c r="M27" i="91"/>
  <c r="W55" i="50"/>
  <c r="K25" i="91"/>
  <c r="M25" i="91"/>
  <c r="N55" i="50"/>
  <c r="L33" i="95"/>
  <c r="I47" i="50" s="1"/>
  <c r="K33" i="95"/>
  <c r="G47" i="50" s="1"/>
  <c r="J33" i="95"/>
  <c r="E47" i="50" s="1"/>
  <c r="I46" i="50" l="1"/>
  <c r="H47" i="50"/>
  <c r="H46" i="50" s="1"/>
  <c r="D47" i="50"/>
  <c r="D46" i="50" s="1"/>
  <c r="E46" i="50"/>
  <c r="F47" i="50"/>
  <c r="F46" i="50" s="1"/>
  <c r="G46" i="50"/>
  <c r="H28" i="91"/>
  <c r="D45" i="50" s="1"/>
  <c r="L21" i="91"/>
  <c r="L28" i="91" s="1"/>
  <c r="H45" i="50" s="1"/>
  <c r="J21" i="91"/>
  <c r="J28" i="91" s="1"/>
  <c r="F45" i="50" s="1"/>
  <c r="I21" i="91"/>
  <c r="M21" i="91" l="1"/>
  <c r="M28" i="91" s="1"/>
  <c r="I45" i="50" s="1"/>
  <c r="I28" i="91"/>
  <c r="E45" i="50" s="1"/>
  <c r="K21" i="91"/>
  <c r="K28" i="91" s="1"/>
  <c r="G45" i="50" s="1"/>
  <c r="I65" i="90" l="1"/>
  <c r="C63" i="90" s="1"/>
  <c r="D74" i="90" s="1"/>
  <c r="C49" i="90"/>
  <c r="D43" i="90"/>
  <c r="C35" i="90"/>
  <c r="I15" i="90"/>
  <c r="C13" i="90" s="1"/>
  <c r="C12" i="90"/>
  <c r="C5" i="90"/>
  <c r="B5" i="90"/>
  <c r="C4" i="90"/>
  <c r="B4" i="90"/>
  <c r="C3" i="90"/>
  <c r="B3" i="90"/>
  <c r="C2" i="90"/>
  <c r="B2" i="90"/>
  <c r="E32" i="85"/>
  <c r="D32" i="85" s="1"/>
  <c r="E31" i="85"/>
  <c r="D31" i="85" s="1"/>
  <c r="E30" i="85"/>
  <c r="D30" i="85" s="1"/>
  <c r="E29" i="85"/>
  <c r="D29" i="85" s="1"/>
  <c r="E28" i="85"/>
  <c r="D28" i="85" s="1"/>
  <c r="C12" i="42"/>
  <c r="D57" i="90" l="1"/>
  <c r="E52" i="50" s="1"/>
  <c r="E51" i="50"/>
  <c r="D59" i="90"/>
  <c r="I52" i="50" s="1"/>
  <c r="D58" i="90"/>
  <c r="G52" i="50" s="1"/>
  <c r="D27" i="85"/>
  <c r="C74" i="90"/>
  <c r="V53" i="50" s="1"/>
  <c r="V49" i="50" s="1"/>
  <c r="W53" i="50"/>
  <c r="W49" i="50" s="1"/>
  <c r="D71" i="90"/>
  <c r="E44" i="90"/>
  <c r="D44" i="90" s="1"/>
  <c r="G51" i="50" s="1"/>
  <c r="E45" i="90"/>
  <c r="D45" i="90" s="1"/>
  <c r="I51" i="50" s="1"/>
  <c r="D31" i="90"/>
  <c r="D30" i="90"/>
  <c r="D29" i="90"/>
  <c r="E50" i="50" s="1"/>
  <c r="C15" i="89"/>
  <c r="F134" i="89"/>
  <c r="F133" i="89"/>
  <c r="F132" i="89"/>
  <c r="F131" i="89"/>
  <c r="F130" i="89"/>
  <c r="F129" i="89"/>
  <c r="F128" i="89"/>
  <c r="F127" i="89"/>
  <c r="L117" i="89"/>
  <c r="L134" i="89" s="1"/>
  <c r="G117" i="89"/>
  <c r="G134" i="89" s="1"/>
  <c r="E117" i="89"/>
  <c r="E134" i="89" s="1"/>
  <c r="D117" i="89"/>
  <c r="L116" i="89"/>
  <c r="L133" i="89" s="1"/>
  <c r="G116" i="89"/>
  <c r="G133" i="89" s="1"/>
  <c r="E116" i="89"/>
  <c r="E133" i="89" s="1"/>
  <c r="D116" i="89"/>
  <c r="L115" i="89"/>
  <c r="L132" i="89" s="1"/>
  <c r="G115" i="89"/>
  <c r="G132" i="89" s="1"/>
  <c r="D115" i="89"/>
  <c r="L114" i="89"/>
  <c r="L131" i="89" s="1"/>
  <c r="G114" i="89"/>
  <c r="G131" i="89" s="1"/>
  <c r="D114" i="89"/>
  <c r="L113" i="89"/>
  <c r="L130" i="89" s="1"/>
  <c r="G113" i="89"/>
  <c r="G130" i="89" s="1"/>
  <c r="D113" i="89"/>
  <c r="L112" i="89"/>
  <c r="L129" i="89" s="1"/>
  <c r="G112" i="89"/>
  <c r="G129" i="89" s="1"/>
  <c r="D112" i="89"/>
  <c r="L111" i="89"/>
  <c r="L128" i="89" s="1"/>
  <c r="G111" i="89"/>
  <c r="G128" i="89" s="1"/>
  <c r="D111" i="89"/>
  <c r="L110" i="89"/>
  <c r="L127" i="89" s="1"/>
  <c r="G110" i="89"/>
  <c r="G127" i="89" s="1"/>
  <c r="D110" i="89"/>
  <c r="E98" i="89"/>
  <c r="E97" i="89"/>
  <c r="E96" i="89"/>
  <c r="E95" i="89"/>
  <c r="E94" i="89"/>
  <c r="E93" i="89"/>
  <c r="D60" i="89"/>
  <c r="D59" i="89"/>
  <c r="D58" i="89"/>
  <c r="D57" i="89"/>
  <c r="D56" i="89"/>
  <c r="D55" i="89"/>
  <c r="D54" i="89"/>
  <c r="D53" i="89"/>
  <c r="D52" i="89"/>
  <c r="D51" i="89"/>
  <c r="D50" i="89"/>
  <c r="D49" i="89"/>
  <c r="D48" i="89"/>
  <c r="D47" i="89"/>
  <c r="E37" i="89"/>
  <c r="E36" i="89"/>
  <c r="E35" i="89"/>
  <c r="E34" i="89"/>
  <c r="E33" i="89"/>
  <c r="E32" i="89"/>
  <c r="E31" i="89"/>
  <c r="E30" i="89"/>
  <c r="E29" i="89"/>
  <c r="E28" i="89"/>
  <c r="E27" i="89"/>
  <c r="E26" i="89"/>
  <c r="E25" i="89"/>
  <c r="E24" i="89"/>
  <c r="C12" i="89"/>
  <c r="C5" i="89"/>
  <c r="B5" i="89"/>
  <c r="C4" i="89"/>
  <c r="B4" i="89"/>
  <c r="C3" i="89"/>
  <c r="B3" i="89"/>
  <c r="C2" i="89"/>
  <c r="B2" i="89"/>
  <c r="C12" i="88"/>
  <c r="C5" i="88"/>
  <c r="B5" i="88"/>
  <c r="C4" i="88"/>
  <c r="B4" i="88"/>
  <c r="C3" i="88"/>
  <c r="B3" i="88"/>
  <c r="C2" i="88"/>
  <c r="B2" i="88"/>
  <c r="E26" i="42"/>
  <c r="C15" i="42"/>
  <c r="D44" i="42" s="1"/>
  <c r="D47" i="42" s="1"/>
  <c r="Y39" i="50" s="1"/>
  <c r="E25" i="42"/>
  <c r="E24" i="42"/>
  <c r="C16" i="42"/>
  <c r="C44" i="42" l="1"/>
  <c r="C47" i="42"/>
  <c r="X39" i="50" s="1"/>
  <c r="D30" i="88"/>
  <c r="M40" i="50" s="1"/>
  <c r="M66" i="50" s="1"/>
  <c r="C15" i="88"/>
  <c r="C17" i="88"/>
  <c r="C16" i="88"/>
  <c r="D31" i="88"/>
  <c r="O40" i="50" s="1"/>
  <c r="O66" i="50" s="1"/>
  <c r="D32" i="88"/>
  <c r="Q40" i="50" s="1"/>
  <c r="Q66" i="50" s="1"/>
  <c r="C59" i="90"/>
  <c r="H52" i="50" s="1"/>
  <c r="C57" i="90"/>
  <c r="D52" i="50" s="1"/>
  <c r="E49" i="50"/>
  <c r="D33" i="88"/>
  <c r="S40" i="50" s="1"/>
  <c r="S66" i="50" s="1"/>
  <c r="D34" i="88"/>
  <c r="D26" i="42"/>
  <c r="S39" i="50" s="1"/>
  <c r="C58" i="90"/>
  <c r="F52" i="50" s="1"/>
  <c r="C29" i="90"/>
  <c r="C31" i="90"/>
  <c r="I50" i="50"/>
  <c r="I49" i="50" s="1"/>
  <c r="C43" i="90"/>
  <c r="D51" i="50" s="1"/>
  <c r="D50" i="50"/>
  <c r="O53" i="50"/>
  <c r="O49" i="50" s="1"/>
  <c r="C71" i="90"/>
  <c r="N53" i="50" s="1"/>
  <c r="N49" i="50" s="1"/>
  <c r="C30" i="90"/>
  <c r="G50" i="50"/>
  <c r="G49" i="50" s="1"/>
  <c r="D127" i="89"/>
  <c r="D130" i="89"/>
  <c r="D128" i="89"/>
  <c r="D132" i="89"/>
  <c r="D134" i="89"/>
  <c r="E110" i="89"/>
  <c r="E112" i="89"/>
  <c r="E129" i="89" s="1"/>
  <c r="E114" i="89"/>
  <c r="E131" i="89" s="1"/>
  <c r="I94" i="89"/>
  <c r="I111" i="89" s="1"/>
  <c r="I128" i="89" s="1"/>
  <c r="I98" i="89"/>
  <c r="I115" i="89" s="1"/>
  <c r="I132" i="89" s="1"/>
  <c r="I95" i="89"/>
  <c r="I112" i="89" s="1"/>
  <c r="I129" i="89" s="1"/>
  <c r="I99" i="89"/>
  <c r="I116" i="89" s="1"/>
  <c r="I133" i="89" s="1"/>
  <c r="I96" i="89"/>
  <c r="I113" i="89" s="1"/>
  <c r="I130" i="89" s="1"/>
  <c r="I100" i="89"/>
  <c r="I117" i="89" s="1"/>
  <c r="I134" i="89" s="1"/>
  <c r="I97" i="89"/>
  <c r="I114" i="89" s="1"/>
  <c r="I131" i="89" s="1"/>
  <c r="I93" i="89"/>
  <c r="D71" i="89"/>
  <c r="D72" i="89"/>
  <c r="D76" i="89"/>
  <c r="D80" i="89"/>
  <c r="D79" i="89"/>
  <c r="D83" i="89"/>
  <c r="D73" i="89"/>
  <c r="D77" i="89"/>
  <c r="E50" i="89"/>
  <c r="E73" i="89" s="1"/>
  <c r="E52" i="89"/>
  <c r="E75" i="89" s="1"/>
  <c r="E54" i="89"/>
  <c r="E77" i="89" s="1"/>
  <c r="E56" i="89"/>
  <c r="E49" i="89"/>
  <c r="E51" i="89"/>
  <c r="E74" i="89" s="1"/>
  <c r="E55" i="89"/>
  <c r="E78" i="89" s="1"/>
  <c r="E57" i="89"/>
  <c r="E80" i="89" s="1"/>
  <c r="E59" i="89"/>
  <c r="E82" i="89" s="1"/>
  <c r="E47" i="89"/>
  <c r="E70" i="89" s="1"/>
  <c r="G25" i="89"/>
  <c r="G48" i="89" s="1"/>
  <c r="G71" i="89" s="1"/>
  <c r="G29" i="89"/>
  <c r="G52" i="89" s="1"/>
  <c r="G75" i="89" s="1"/>
  <c r="G33" i="89"/>
  <c r="G56" i="89" s="1"/>
  <c r="G79" i="89" s="1"/>
  <c r="G37" i="89"/>
  <c r="G60" i="89" s="1"/>
  <c r="G83" i="89" s="1"/>
  <c r="G28" i="89"/>
  <c r="G51" i="89" s="1"/>
  <c r="G74" i="89" s="1"/>
  <c r="G36" i="89"/>
  <c r="G59" i="89" s="1"/>
  <c r="G82" i="89" s="1"/>
  <c r="G26" i="89"/>
  <c r="G49" i="89" s="1"/>
  <c r="G72" i="89" s="1"/>
  <c r="G30" i="89"/>
  <c r="G53" i="89" s="1"/>
  <c r="G76" i="89" s="1"/>
  <c r="G34" i="89"/>
  <c r="G57" i="89" s="1"/>
  <c r="G80" i="89" s="1"/>
  <c r="G24" i="89"/>
  <c r="G27" i="89"/>
  <c r="G50" i="89" s="1"/>
  <c r="G73" i="89" s="1"/>
  <c r="G31" i="89"/>
  <c r="G54" i="89" s="1"/>
  <c r="G77" i="89" s="1"/>
  <c r="G35" i="89"/>
  <c r="G58" i="89" s="1"/>
  <c r="G81" i="89" s="1"/>
  <c r="G32" i="89"/>
  <c r="G55" i="89" s="1"/>
  <c r="G78" i="89" s="1"/>
  <c r="E111" i="89"/>
  <c r="E128" i="89" s="1"/>
  <c r="E48" i="89"/>
  <c r="E71" i="89" s="1"/>
  <c r="E53" i="89"/>
  <c r="E76" i="89" s="1"/>
  <c r="E115" i="89"/>
  <c r="E58" i="89"/>
  <c r="E81" i="89" s="1"/>
  <c r="D78" i="89"/>
  <c r="D82" i="89"/>
  <c r="D75" i="89"/>
  <c r="D74" i="89"/>
  <c r="D133" i="89"/>
  <c r="D70" i="89"/>
  <c r="D81" i="89"/>
  <c r="E60" i="89"/>
  <c r="E127" i="89"/>
  <c r="D129" i="89"/>
  <c r="J129" i="89" s="1"/>
  <c r="K129" i="89" s="1"/>
  <c r="M129" i="89" s="1"/>
  <c r="E113" i="89"/>
  <c r="D131" i="89"/>
  <c r="J131" i="89" s="1"/>
  <c r="K131" i="89" s="1"/>
  <c r="M131" i="89" s="1"/>
  <c r="D24" i="42"/>
  <c r="G39" i="50" s="1"/>
  <c r="D25" i="42"/>
  <c r="I39" i="50" s="1"/>
  <c r="D23" i="42"/>
  <c r="D40" i="87"/>
  <c r="D39" i="87"/>
  <c r="D38" i="87"/>
  <c r="D37" i="87"/>
  <c r="D36" i="87"/>
  <c r="D35" i="87"/>
  <c r="D34" i="87"/>
  <c r="D33" i="87"/>
  <c r="D32" i="87"/>
  <c r="D31" i="87"/>
  <c r="D30" i="87"/>
  <c r="D29" i="87"/>
  <c r="E23" i="87"/>
  <c r="E25" i="87" s="1"/>
  <c r="C12" i="87"/>
  <c r="C5" i="87"/>
  <c r="B5" i="87"/>
  <c r="C4" i="87"/>
  <c r="B4" i="87"/>
  <c r="C3" i="87"/>
  <c r="B3" i="87"/>
  <c r="C2" i="87"/>
  <c r="B2" i="87"/>
  <c r="D28" i="86"/>
  <c r="D26" i="86"/>
  <c r="D25" i="86"/>
  <c r="C12" i="86"/>
  <c r="C5" i="86"/>
  <c r="B5" i="86"/>
  <c r="C4" i="86"/>
  <c r="B4" i="86"/>
  <c r="C3" i="86"/>
  <c r="B3" i="86"/>
  <c r="C2" i="86"/>
  <c r="B2" i="86"/>
  <c r="C12" i="85"/>
  <c r="C5" i="85"/>
  <c r="B5" i="85"/>
  <c r="C4" i="85"/>
  <c r="B4" i="85"/>
  <c r="C3" i="85"/>
  <c r="B3" i="85"/>
  <c r="C2" i="85"/>
  <c r="B2" i="85"/>
  <c r="D25" i="24"/>
  <c r="D111" i="84"/>
  <c r="D110" i="84"/>
  <c r="D109" i="84"/>
  <c r="D106" i="84"/>
  <c r="D105" i="84"/>
  <c r="D104" i="84"/>
  <c r="D103" i="84"/>
  <c r="D96" i="84"/>
  <c r="S35" i="50" s="1"/>
  <c r="E95" i="84"/>
  <c r="D95" i="84" s="1"/>
  <c r="Q35" i="50" s="1"/>
  <c r="D94" i="84"/>
  <c r="O35" i="50" s="1"/>
  <c r="D93" i="84"/>
  <c r="M35" i="50" s="1"/>
  <c r="D92" i="84"/>
  <c r="K35" i="50" s="1"/>
  <c r="D91" i="84"/>
  <c r="D90" i="84"/>
  <c r="D89" i="84"/>
  <c r="D78" i="84"/>
  <c r="D77" i="84"/>
  <c r="D76" i="84"/>
  <c r="E73" i="84"/>
  <c r="D73" i="84" s="1"/>
  <c r="E72" i="84"/>
  <c r="D72" i="84" s="1"/>
  <c r="D71" i="84"/>
  <c r="E70" i="84"/>
  <c r="D70" i="84" s="1"/>
  <c r="D69" i="84"/>
  <c r="U36" i="50" s="1"/>
  <c r="E68" i="84"/>
  <c r="D68" i="84" s="1"/>
  <c r="E67" i="84"/>
  <c r="D67" i="84" s="1"/>
  <c r="E66" i="84"/>
  <c r="D66" i="84" s="1"/>
  <c r="E65" i="84"/>
  <c r="D65" i="84" s="1"/>
  <c r="E64" i="84"/>
  <c r="D64" i="84" s="1"/>
  <c r="D61" i="84"/>
  <c r="E58" i="84"/>
  <c r="D58" i="84" s="1"/>
  <c r="E57" i="84"/>
  <c r="D57" i="84" s="1"/>
  <c r="E56" i="84"/>
  <c r="D56" i="84" s="1"/>
  <c r="E55" i="84"/>
  <c r="D55" i="84" s="1"/>
  <c r="E54" i="84"/>
  <c r="D54" i="84" s="1"/>
  <c r="D53" i="84"/>
  <c r="E52" i="84"/>
  <c r="D52" i="84" s="1"/>
  <c r="E51" i="84"/>
  <c r="D51" i="84" s="1"/>
  <c r="E50" i="84"/>
  <c r="D50" i="84" s="1"/>
  <c r="E49" i="84"/>
  <c r="D49" i="84" s="1"/>
  <c r="E48" i="84"/>
  <c r="D48" i="84" s="1"/>
  <c r="E47" i="84"/>
  <c r="D47" i="84" s="1"/>
  <c r="E46" i="84"/>
  <c r="D46" i="84" s="1"/>
  <c r="E45" i="84"/>
  <c r="D45" i="84" s="1"/>
  <c r="E44" i="84"/>
  <c r="D44" i="84" s="1"/>
  <c r="E43" i="84"/>
  <c r="D43" i="84" s="1"/>
  <c r="E42" i="84"/>
  <c r="D42" i="84" s="1"/>
  <c r="E41" i="84"/>
  <c r="D41" i="84" s="1"/>
  <c r="E40" i="84"/>
  <c r="D40" i="84" s="1"/>
  <c r="E39" i="84"/>
  <c r="D39" i="84" s="1"/>
  <c r="E38" i="84"/>
  <c r="D38" i="84" s="1"/>
  <c r="E37" i="84"/>
  <c r="D37" i="84" s="1"/>
  <c r="E36" i="84"/>
  <c r="D36" i="84" s="1"/>
  <c r="E35" i="84"/>
  <c r="D35" i="84" s="1"/>
  <c r="D31" i="84"/>
  <c r="S36" i="50" s="1"/>
  <c r="D30" i="84"/>
  <c r="Q36" i="50" s="1"/>
  <c r="D29" i="84"/>
  <c r="O36" i="50" s="1"/>
  <c r="D28" i="84"/>
  <c r="M36" i="50" s="1"/>
  <c r="D27" i="84"/>
  <c r="K36" i="50" s="1"/>
  <c r="D26" i="84"/>
  <c r="D25" i="84"/>
  <c r="D24" i="84"/>
  <c r="C12" i="84"/>
  <c r="C5" i="84"/>
  <c r="B5" i="84"/>
  <c r="C4" i="84"/>
  <c r="B4" i="84"/>
  <c r="C3" i="84"/>
  <c r="B3" i="84"/>
  <c r="C2" i="84"/>
  <c r="B2" i="84"/>
  <c r="C15" i="20"/>
  <c r="C17" i="20"/>
  <c r="E26" i="20"/>
  <c r="E25" i="20"/>
  <c r="H16" i="88" l="1"/>
  <c r="D122" i="88"/>
  <c r="C122" i="88" s="1"/>
  <c r="D148" i="88"/>
  <c r="C148" i="88" s="1"/>
  <c r="H17" i="88"/>
  <c r="D64" i="88"/>
  <c r="C64" i="88" s="1"/>
  <c r="H15" i="88"/>
  <c r="D106" i="88"/>
  <c r="C106" i="88" s="1"/>
  <c r="D102" i="88"/>
  <c r="D98" i="88"/>
  <c r="C98" i="88" s="1"/>
  <c r="D90" i="88"/>
  <c r="C90" i="88" s="1"/>
  <c r="D86" i="88"/>
  <c r="C86" i="88" s="1"/>
  <c r="D82" i="88"/>
  <c r="C82" i="88" s="1"/>
  <c r="D78" i="88"/>
  <c r="C78" i="88" s="1"/>
  <c r="D74" i="88"/>
  <c r="C74" i="88" s="1"/>
  <c r="D70" i="88"/>
  <c r="C70" i="88" s="1"/>
  <c r="D110" i="88"/>
  <c r="C110" i="88" s="1"/>
  <c r="D80" i="88"/>
  <c r="C80" i="88" s="1"/>
  <c r="D72" i="88"/>
  <c r="C72" i="88" s="1"/>
  <c r="D109" i="88"/>
  <c r="D103" i="88"/>
  <c r="C103" i="88" s="1"/>
  <c r="D99" i="88"/>
  <c r="C99" i="88" s="1"/>
  <c r="D87" i="88"/>
  <c r="C87" i="88" s="1"/>
  <c r="D83" i="88"/>
  <c r="C83" i="88" s="1"/>
  <c r="D75" i="88"/>
  <c r="C75" i="88" s="1"/>
  <c r="D71" i="88"/>
  <c r="C71" i="88" s="1"/>
  <c r="D52" i="88"/>
  <c r="D84" i="88"/>
  <c r="C84" i="88" s="1"/>
  <c r="D76" i="88"/>
  <c r="C76" i="88" s="1"/>
  <c r="D68" i="88"/>
  <c r="C68" i="88" s="1"/>
  <c r="D53" i="88"/>
  <c r="C53" i="88" s="1"/>
  <c r="D104" i="88"/>
  <c r="D100" i="88"/>
  <c r="C100" i="88" s="1"/>
  <c r="D94" i="88"/>
  <c r="D88" i="88"/>
  <c r="D97" i="88"/>
  <c r="C97" i="88" s="1"/>
  <c r="D101" i="88"/>
  <c r="C101" i="88" s="1"/>
  <c r="D79" i="88"/>
  <c r="C79" i="88" s="1"/>
  <c r="D85" i="88"/>
  <c r="C85" i="88" s="1"/>
  <c r="D40" i="88"/>
  <c r="D69" i="88"/>
  <c r="C69" i="88" s="1"/>
  <c r="D105" i="88"/>
  <c r="C105" i="88" s="1"/>
  <c r="D73" i="88"/>
  <c r="C73" i="88" s="1"/>
  <c r="D111" i="88"/>
  <c r="C111" i="88" s="1"/>
  <c r="D91" i="88"/>
  <c r="C91" i="88" s="1"/>
  <c r="D77" i="88"/>
  <c r="C77" i="88" s="1"/>
  <c r="D81" i="88"/>
  <c r="C81" i="88" s="1"/>
  <c r="D89" i="88"/>
  <c r="C89" i="88" s="1"/>
  <c r="D54" i="88"/>
  <c r="C54" i="88" s="1"/>
  <c r="D135" i="88"/>
  <c r="D131" i="88"/>
  <c r="C131" i="88" s="1"/>
  <c r="D129" i="88"/>
  <c r="C129" i="88" s="1"/>
  <c r="D44" i="88"/>
  <c r="C44" i="88" s="1"/>
  <c r="D137" i="88"/>
  <c r="C137" i="88" s="1"/>
  <c r="D126" i="88"/>
  <c r="C126" i="88" s="1"/>
  <c r="D43" i="88"/>
  <c r="C43" i="88" s="1"/>
  <c r="D166" i="88"/>
  <c r="D136" i="88"/>
  <c r="C136" i="88" s="1"/>
  <c r="D132" i="88"/>
  <c r="C132" i="88" s="1"/>
  <c r="D167" i="88"/>
  <c r="C167" i="88" s="1"/>
  <c r="D130" i="88"/>
  <c r="C130" i="88" s="1"/>
  <c r="D168" i="88"/>
  <c r="C168" i="88" s="1"/>
  <c r="E39" i="50"/>
  <c r="D34" i="42"/>
  <c r="D38" i="42"/>
  <c r="D30" i="42"/>
  <c r="D40" i="42"/>
  <c r="D33" i="42"/>
  <c r="D37" i="42"/>
  <c r="D31" i="42"/>
  <c r="D35" i="42"/>
  <c r="D39" i="42"/>
  <c r="D32" i="42"/>
  <c r="D36" i="42"/>
  <c r="U39" i="50" s="1"/>
  <c r="D41" i="42"/>
  <c r="C46" i="86"/>
  <c r="C49" i="86"/>
  <c r="C27" i="86"/>
  <c r="P30" i="50" s="1"/>
  <c r="D33" i="24"/>
  <c r="D37" i="24"/>
  <c r="D29" i="24"/>
  <c r="D36" i="24"/>
  <c r="D30" i="24"/>
  <c r="D34" i="24"/>
  <c r="D38" i="24"/>
  <c r="D31" i="24"/>
  <c r="D35" i="24"/>
  <c r="D39" i="24"/>
  <c r="D32" i="24"/>
  <c r="D40" i="24"/>
  <c r="G30" i="50"/>
  <c r="W36" i="50"/>
  <c r="Q30" i="50"/>
  <c r="J97" i="89"/>
  <c r="K97" i="89" s="1"/>
  <c r="M97" i="89" s="1"/>
  <c r="C44" i="90"/>
  <c r="F51" i="50" s="1"/>
  <c r="F50" i="50"/>
  <c r="D49" i="50"/>
  <c r="K30" i="50"/>
  <c r="S30" i="50"/>
  <c r="M30" i="50"/>
  <c r="C31" i="85"/>
  <c r="C30" i="85"/>
  <c r="C29" i="85"/>
  <c r="C28" i="85"/>
  <c r="C32" i="85"/>
  <c r="O30" i="50"/>
  <c r="C45" i="90"/>
  <c r="H51" i="50" s="1"/>
  <c r="H50" i="50"/>
  <c r="J128" i="89"/>
  <c r="K128" i="89" s="1"/>
  <c r="M128" i="89" s="1"/>
  <c r="J114" i="89"/>
  <c r="K114" i="89" s="1"/>
  <c r="M114" i="89" s="1"/>
  <c r="J93" i="89"/>
  <c r="K93" i="89" s="1"/>
  <c r="J95" i="89"/>
  <c r="K95" i="89" s="1"/>
  <c r="M95" i="89" s="1"/>
  <c r="J116" i="89"/>
  <c r="K116" i="89" s="1"/>
  <c r="M116" i="89" s="1"/>
  <c r="J133" i="89"/>
  <c r="K133" i="89" s="1"/>
  <c r="M133" i="89" s="1"/>
  <c r="J99" i="89"/>
  <c r="K99" i="89" s="1"/>
  <c r="M99" i="89" s="1"/>
  <c r="J96" i="89"/>
  <c r="K96" i="89" s="1"/>
  <c r="M96" i="89" s="1"/>
  <c r="H75" i="89"/>
  <c r="I75" i="89" s="1"/>
  <c r="K75" i="89" s="1"/>
  <c r="E79" i="89"/>
  <c r="J112" i="89"/>
  <c r="K112" i="89" s="1"/>
  <c r="M112" i="89" s="1"/>
  <c r="J94" i="89"/>
  <c r="K94" i="89" s="1"/>
  <c r="M94" i="89" s="1"/>
  <c r="I110" i="89"/>
  <c r="I101" i="89"/>
  <c r="J117" i="89"/>
  <c r="K117" i="89" s="1"/>
  <c r="M117" i="89" s="1"/>
  <c r="J115" i="89"/>
  <c r="K115" i="89" s="1"/>
  <c r="M115" i="89" s="1"/>
  <c r="J100" i="89"/>
  <c r="K100" i="89" s="1"/>
  <c r="M100" i="89" s="1"/>
  <c r="J98" i="89"/>
  <c r="K98" i="89" s="1"/>
  <c r="M98" i="89" s="1"/>
  <c r="J134" i="89"/>
  <c r="K134" i="89" s="1"/>
  <c r="M134" i="89" s="1"/>
  <c r="H76" i="89"/>
  <c r="I76" i="89" s="1"/>
  <c r="K76" i="89" s="1"/>
  <c r="H81" i="89"/>
  <c r="I81" i="89" s="1"/>
  <c r="K81" i="89" s="1"/>
  <c r="H82" i="89"/>
  <c r="I82" i="89" s="1"/>
  <c r="K82" i="89" s="1"/>
  <c r="E72" i="89"/>
  <c r="H78" i="89"/>
  <c r="I78" i="89" s="1"/>
  <c r="K78" i="89" s="1"/>
  <c r="H51" i="89"/>
  <c r="I51" i="89" s="1"/>
  <c r="K51" i="89" s="1"/>
  <c r="H79" i="89"/>
  <c r="I79" i="89" s="1"/>
  <c r="K79" i="89" s="1"/>
  <c r="H33" i="89"/>
  <c r="I33" i="89" s="1"/>
  <c r="K33" i="89" s="1"/>
  <c r="H50" i="89"/>
  <c r="I50" i="89" s="1"/>
  <c r="K50" i="89" s="1"/>
  <c r="H57" i="89"/>
  <c r="I57" i="89" s="1"/>
  <c r="K57" i="89" s="1"/>
  <c r="H72" i="89"/>
  <c r="I72" i="89" s="1"/>
  <c r="K72" i="89" s="1"/>
  <c r="H56" i="89"/>
  <c r="I56" i="89" s="1"/>
  <c r="K56" i="89" s="1"/>
  <c r="H73" i="89"/>
  <c r="I73" i="89" s="1"/>
  <c r="K73" i="89" s="1"/>
  <c r="H80" i="89"/>
  <c r="I80" i="89" s="1"/>
  <c r="K80" i="89" s="1"/>
  <c r="H71" i="89"/>
  <c r="I71" i="89" s="1"/>
  <c r="K71" i="89" s="1"/>
  <c r="H37" i="89"/>
  <c r="I37" i="89" s="1"/>
  <c r="K37" i="89" s="1"/>
  <c r="H26" i="89"/>
  <c r="I26" i="89" s="1"/>
  <c r="K26" i="89" s="1"/>
  <c r="H31" i="89"/>
  <c r="I31" i="89" s="1"/>
  <c r="K31" i="89" s="1"/>
  <c r="H27" i="89"/>
  <c r="I27" i="89" s="1"/>
  <c r="K27" i="89" s="1"/>
  <c r="H59" i="89"/>
  <c r="I59" i="89" s="1"/>
  <c r="K59" i="89" s="1"/>
  <c r="H58" i="89"/>
  <c r="I58" i="89" s="1"/>
  <c r="K58" i="89" s="1"/>
  <c r="H53" i="89"/>
  <c r="I53" i="89" s="1"/>
  <c r="K53" i="89" s="1"/>
  <c r="H48" i="89"/>
  <c r="I48" i="89" s="1"/>
  <c r="K48" i="89" s="1"/>
  <c r="H49" i="89"/>
  <c r="I49" i="89" s="1"/>
  <c r="K49" i="89" s="1"/>
  <c r="H77" i="89"/>
  <c r="I77" i="89" s="1"/>
  <c r="K77" i="89" s="1"/>
  <c r="H55" i="89"/>
  <c r="I55" i="89" s="1"/>
  <c r="K55" i="89" s="1"/>
  <c r="H54" i="89"/>
  <c r="I54" i="89" s="1"/>
  <c r="K54" i="89" s="1"/>
  <c r="H52" i="89"/>
  <c r="I52" i="89" s="1"/>
  <c r="K52" i="89" s="1"/>
  <c r="G47" i="89"/>
  <c r="G38" i="89"/>
  <c r="H35" i="89"/>
  <c r="I35" i="89" s="1"/>
  <c r="K35" i="89" s="1"/>
  <c r="H29" i="89"/>
  <c r="I29" i="89" s="1"/>
  <c r="K29" i="89" s="1"/>
  <c r="E132" i="89"/>
  <c r="J132" i="89" s="1"/>
  <c r="K132" i="89" s="1"/>
  <c r="M132" i="89" s="1"/>
  <c r="H24" i="89"/>
  <c r="H36" i="89"/>
  <c r="I36" i="89" s="1"/>
  <c r="K36" i="89" s="1"/>
  <c r="H25" i="89"/>
  <c r="I25" i="89" s="1"/>
  <c r="K25" i="89" s="1"/>
  <c r="H30" i="89"/>
  <c r="I30" i="89" s="1"/>
  <c r="K30" i="89" s="1"/>
  <c r="H28" i="89"/>
  <c r="I28" i="89" s="1"/>
  <c r="K28" i="89" s="1"/>
  <c r="H74" i="89"/>
  <c r="I74" i="89" s="1"/>
  <c r="K74" i="89" s="1"/>
  <c r="H32" i="89"/>
  <c r="I32" i="89" s="1"/>
  <c r="K32" i="89" s="1"/>
  <c r="H34" i="89"/>
  <c r="I34" i="89" s="1"/>
  <c r="K34" i="89" s="1"/>
  <c r="J111" i="89"/>
  <c r="K111" i="89" s="1"/>
  <c r="M111" i="89" s="1"/>
  <c r="E130" i="89"/>
  <c r="J130" i="89" s="1"/>
  <c r="K130" i="89" s="1"/>
  <c r="M130" i="89" s="1"/>
  <c r="J113" i="89"/>
  <c r="K113" i="89" s="1"/>
  <c r="M113" i="89" s="1"/>
  <c r="E83" i="89"/>
  <c r="F83" i="89" s="1"/>
  <c r="H60" i="89"/>
  <c r="I60" i="89" s="1"/>
  <c r="K60" i="89" s="1"/>
  <c r="E24" i="87"/>
  <c r="D24" i="87"/>
  <c r="C24" i="87" s="1"/>
  <c r="D23" i="87"/>
  <c r="D25" i="87"/>
  <c r="C25" i="87" s="1"/>
  <c r="C26" i="86"/>
  <c r="C28" i="86"/>
  <c r="C25" i="86"/>
  <c r="C30" i="84"/>
  <c r="P36" i="50" s="1"/>
  <c r="C51" i="84"/>
  <c r="C92" i="84"/>
  <c r="J35" i="50" s="1"/>
  <c r="C65" i="84"/>
  <c r="C76" i="84"/>
  <c r="C27" i="84"/>
  <c r="J36" i="50" s="1"/>
  <c r="C58" i="84"/>
  <c r="C35" i="84"/>
  <c r="C46" i="84"/>
  <c r="C57" i="84"/>
  <c r="C66" i="84"/>
  <c r="D112" i="84"/>
  <c r="C24" i="84"/>
  <c r="C53" i="84"/>
  <c r="C50" i="84"/>
  <c r="C54" i="84"/>
  <c r="C31" i="84"/>
  <c r="R36" i="50" s="1"/>
  <c r="C38" i="84"/>
  <c r="C42" i="84"/>
  <c r="C45" i="84"/>
  <c r="C49" i="84"/>
  <c r="C56" i="84"/>
  <c r="C72" i="84"/>
  <c r="C96" i="84"/>
  <c r="R35" i="50" s="1"/>
  <c r="C111" i="84"/>
  <c r="C25" i="84"/>
  <c r="C28" i="84"/>
  <c r="L36" i="50" s="1"/>
  <c r="C36" i="84"/>
  <c r="C39" i="84"/>
  <c r="C47" i="84"/>
  <c r="C52" i="84"/>
  <c r="C67" i="84"/>
  <c r="C70" i="84"/>
  <c r="C77" i="84"/>
  <c r="D100" i="84"/>
  <c r="C106" i="84"/>
  <c r="C26" i="84"/>
  <c r="C29" i="84"/>
  <c r="N36" i="50" s="1"/>
  <c r="C37" i="84"/>
  <c r="C40" i="84"/>
  <c r="C43" i="84"/>
  <c r="C48" i="84"/>
  <c r="C61" i="84"/>
  <c r="C68" i="84"/>
  <c r="C78" i="84"/>
  <c r="C93" i="84"/>
  <c r="L35" i="50" s="1"/>
  <c r="C110" i="84"/>
  <c r="C41" i="84"/>
  <c r="C44" i="84"/>
  <c r="C55" i="84"/>
  <c r="C64" i="84"/>
  <c r="C71" i="84"/>
  <c r="C89" i="84"/>
  <c r="C104" i="84"/>
  <c r="C95" i="84"/>
  <c r="P35" i="50" s="1"/>
  <c r="D79" i="84"/>
  <c r="C90" i="84"/>
  <c r="C94" i="84"/>
  <c r="N35" i="50" s="1"/>
  <c r="C103" i="84"/>
  <c r="C105" i="84"/>
  <c r="C109" i="84"/>
  <c r="C69" i="84"/>
  <c r="T36" i="50" s="1"/>
  <c r="C73" i="84"/>
  <c r="C91" i="84"/>
  <c r="C40" i="88" l="1"/>
  <c r="D169" i="88"/>
  <c r="C169" i="88" s="1"/>
  <c r="C166" i="88"/>
  <c r="C135" i="88"/>
  <c r="D138" i="88"/>
  <c r="C138" i="88" s="1"/>
  <c r="D45" i="88"/>
  <c r="W40" i="50" s="1"/>
  <c r="W66" i="50" s="1"/>
  <c r="C94" i="88"/>
  <c r="C45" i="88" s="1"/>
  <c r="C102" i="88"/>
  <c r="C48" i="88" s="1"/>
  <c r="T40" i="50" s="1"/>
  <c r="T66" i="50" s="1"/>
  <c r="D48" i="88"/>
  <c r="U40" i="50" s="1"/>
  <c r="U66" i="50" s="1"/>
  <c r="D49" i="88"/>
  <c r="C104" i="88"/>
  <c r="C49" i="88" s="1"/>
  <c r="D112" i="88"/>
  <c r="C112" i="88" s="1"/>
  <c r="C109" i="88"/>
  <c r="D162" i="88"/>
  <c r="D160" i="88"/>
  <c r="D158" i="88"/>
  <c r="D156" i="88"/>
  <c r="D154" i="88"/>
  <c r="D152" i="88"/>
  <c r="D163" i="88"/>
  <c r="D161" i="88"/>
  <c r="D159" i="88"/>
  <c r="D157" i="88"/>
  <c r="D155" i="88"/>
  <c r="D153" i="88"/>
  <c r="C88" i="88"/>
  <c r="D55" i="88"/>
  <c r="C52" i="88"/>
  <c r="D38" i="86"/>
  <c r="E30" i="50"/>
  <c r="F49" i="50"/>
  <c r="L30" i="50"/>
  <c r="H49" i="50"/>
  <c r="C79" i="84"/>
  <c r="X36" i="50" s="1"/>
  <c r="Y36" i="50"/>
  <c r="C112" i="84"/>
  <c r="X35" i="50" s="1"/>
  <c r="Y35" i="50"/>
  <c r="V36" i="50"/>
  <c r="W39" i="50"/>
  <c r="R30" i="50"/>
  <c r="C100" i="84"/>
  <c r="V35" i="50" s="1"/>
  <c r="W35" i="50"/>
  <c r="C27" i="85"/>
  <c r="D43" i="86"/>
  <c r="D41" i="86"/>
  <c r="D39" i="86"/>
  <c r="D36" i="86"/>
  <c r="D34" i="86"/>
  <c r="D32" i="86"/>
  <c r="D42" i="86"/>
  <c r="D40" i="86"/>
  <c r="D37" i="86"/>
  <c r="D35" i="86"/>
  <c r="D33" i="86"/>
  <c r="C40" i="87"/>
  <c r="C38" i="87"/>
  <c r="C36" i="87"/>
  <c r="C34" i="87"/>
  <c r="C32" i="87"/>
  <c r="C30" i="87"/>
  <c r="C39" i="87"/>
  <c r="C35" i="87"/>
  <c r="C33" i="87"/>
  <c r="C29" i="87"/>
  <c r="C37" i="87"/>
  <c r="C31" i="87"/>
  <c r="I127" i="89"/>
  <c r="I135" i="89" s="1"/>
  <c r="I118" i="89"/>
  <c r="J101" i="89"/>
  <c r="J110" i="89"/>
  <c r="M93" i="89"/>
  <c r="M101" i="89" s="1"/>
  <c r="E44" i="50" s="1"/>
  <c r="D44" i="50" s="1"/>
  <c r="K101" i="89"/>
  <c r="H47" i="89"/>
  <c r="H61" i="89" s="1"/>
  <c r="H83" i="89"/>
  <c r="I83" i="89" s="1"/>
  <c r="K83" i="89" s="1"/>
  <c r="I24" i="89"/>
  <c r="H38" i="89"/>
  <c r="G70" i="89"/>
  <c r="G84" i="89" s="1"/>
  <c r="G61" i="89"/>
  <c r="C23" i="87"/>
  <c r="D47" i="85"/>
  <c r="D45" i="85"/>
  <c r="D43" i="85"/>
  <c r="D41" i="85"/>
  <c r="D39" i="85"/>
  <c r="D37" i="85"/>
  <c r="D46" i="85"/>
  <c r="D44" i="85"/>
  <c r="D42" i="85"/>
  <c r="D40" i="85"/>
  <c r="D38" i="85"/>
  <c r="D36" i="85"/>
  <c r="C55" i="88" l="1"/>
  <c r="X40" i="50" s="1"/>
  <c r="X66" i="50" s="1"/>
  <c r="Y40" i="50"/>
  <c r="Y66" i="50" s="1"/>
  <c r="V40" i="50"/>
  <c r="V66" i="50" s="1"/>
  <c r="U30" i="50"/>
  <c r="C163" i="88"/>
  <c r="C161" i="88"/>
  <c r="C159" i="88"/>
  <c r="C157" i="88"/>
  <c r="C155" i="88"/>
  <c r="C153" i="88"/>
  <c r="C158" i="88"/>
  <c r="C154" i="88"/>
  <c r="C162" i="88"/>
  <c r="C160" i="88"/>
  <c r="C156" i="88"/>
  <c r="C152" i="88"/>
  <c r="I30" i="50"/>
  <c r="Y30" i="50"/>
  <c r="C38" i="86"/>
  <c r="X30" i="50"/>
  <c r="C37" i="86"/>
  <c r="C43" i="86"/>
  <c r="C41" i="86"/>
  <c r="C39" i="86"/>
  <c r="C36" i="86"/>
  <c r="C34" i="86"/>
  <c r="C32" i="86"/>
  <c r="C40" i="86"/>
  <c r="C35" i="86"/>
  <c r="C42" i="86"/>
  <c r="C33" i="86"/>
  <c r="I47" i="89"/>
  <c r="I61" i="89" s="1"/>
  <c r="J127" i="89"/>
  <c r="J135" i="89" s="1"/>
  <c r="K110" i="89"/>
  <c r="J118" i="89"/>
  <c r="H70" i="89"/>
  <c r="H84" i="89" s="1"/>
  <c r="K24" i="89"/>
  <c r="K38" i="89" s="1"/>
  <c r="E43" i="50" s="1"/>
  <c r="I38" i="89"/>
  <c r="C47" i="85"/>
  <c r="C45" i="85"/>
  <c r="C43" i="85"/>
  <c r="C41" i="85"/>
  <c r="C39" i="85"/>
  <c r="C37" i="85"/>
  <c r="C46" i="85"/>
  <c r="C44" i="85"/>
  <c r="C42" i="85"/>
  <c r="C40" i="85"/>
  <c r="C38" i="85"/>
  <c r="C36" i="85"/>
  <c r="K47" i="89" l="1"/>
  <c r="K61" i="89" s="1"/>
  <c r="G43" i="50" s="1"/>
  <c r="F43" i="50" s="1"/>
  <c r="W30" i="50"/>
  <c r="D43" i="50"/>
  <c r="D42" i="50" s="1"/>
  <c r="E42" i="50"/>
  <c r="K127" i="89"/>
  <c r="K135" i="89" s="1"/>
  <c r="K118" i="89"/>
  <c r="M110" i="89"/>
  <c r="M118" i="89" s="1"/>
  <c r="G44" i="50" s="1"/>
  <c r="F44" i="50" s="1"/>
  <c r="I70" i="89"/>
  <c r="I84" i="89" s="1"/>
  <c r="F42" i="50" l="1"/>
  <c r="G42" i="50"/>
  <c r="M127" i="89"/>
  <c r="M135" i="89" s="1"/>
  <c r="I44" i="50" s="1"/>
  <c r="H44" i="50" s="1"/>
  <c r="K70" i="89"/>
  <c r="K84" i="89" s="1"/>
  <c r="I43" i="50" s="1"/>
  <c r="H43" i="50" l="1"/>
  <c r="H42" i="50" s="1"/>
  <c r="I42" i="50"/>
  <c r="E102" i="19" l="1"/>
  <c r="E101" i="19"/>
  <c r="E48" i="19"/>
  <c r="E99" i="19"/>
  <c r="E47" i="19"/>
  <c r="E97" i="19"/>
  <c r="E96" i="19"/>
  <c r="E95" i="19"/>
  <c r="E94" i="19"/>
  <c r="E93" i="19"/>
  <c r="E44" i="19"/>
  <c r="E87" i="19"/>
  <c r="E86" i="19"/>
  <c r="E85" i="19"/>
  <c r="E84" i="19"/>
  <c r="E83" i="19"/>
  <c r="E38" i="19"/>
  <c r="E81" i="19"/>
  <c r="E80" i="19"/>
  <c r="E79" i="19"/>
  <c r="E78" i="19"/>
  <c r="E77" i="19"/>
  <c r="E76" i="19"/>
  <c r="E75" i="19"/>
  <c r="E74" i="19"/>
  <c r="E73" i="19"/>
  <c r="E72" i="19"/>
  <c r="E71" i="19"/>
  <c r="E70" i="19"/>
  <c r="E69" i="19"/>
  <c r="E68" i="19"/>
  <c r="E67" i="19"/>
  <c r="E66" i="19"/>
  <c r="E65" i="19"/>
  <c r="E64" i="19"/>
  <c r="C12" i="19"/>
  <c r="C5" i="19"/>
  <c r="B5" i="19"/>
  <c r="C4" i="19"/>
  <c r="B4" i="19"/>
  <c r="C3" i="19"/>
  <c r="B3" i="19"/>
  <c r="C2" i="19"/>
  <c r="B2" i="19"/>
  <c r="C16" i="81"/>
  <c r="C12" i="81"/>
  <c r="C5" i="81"/>
  <c r="B5" i="81"/>
  <c r="C4" i="81"/>
  <c r="B4" i="81"/>
  <c r="C3" i="81"/>
  <c r="B3" i="81"/>
  <c r="C2" i="81"/>
  <c r="B2" i="81"/>
  <c r="E141" i="29"/>
  <c r="E139" i="29"/>
  <c r="E138" i="29"/>
  <c r="E137" i="29"/>
  <c r="E136" i="29"/>
  <c r="E135" i="29"/>
  <c r="E129" i="29"/>
  <c r="E128" i="29"/>
  <c r="E127" i="29"/>
  <c r="E126" i="29"/>
  <c r="E125" i="29"/>
  <c r="E53" i="19" l="1"/>
  <c r="C63" i="81"/>
  <c r="C62" i="81"/>
  <c r="C64" i="81"/>
  <c r="D36" i="81"/>
  <c r="O24" i="50" s="1"/>
  <c r="D32" i="81"/>
  <c r="K24" i="50" s="1"/>
  <c r="D37" i="81"/>
  <c r="E51" i="19"/>
  <c r="E52" i="19"/>
  <c r="D29" i="19"/>
  <c r="K21" i="50" s="1"/>
  <c r="D34" i="19"/>
  <c r="D33" i="19"/>
  <c r="S21" i="50" s="1"/>
  <c r="D31" i="19"/>
  <c r="O21" i="50" s="1"/>
  <c r="D30" i="19"/>
  <c r="M21" i="50" s="1"/>
  <c r="C16" i="19"/>
  <c r="D33" i="81"/>
  <c r="M24" i="50" s="1"/>
  <c r="D34" i="81"/>
  <c r="S24" i="50" s="1"/>
  <c r="C17" i="19"/>
  <c r="C15" i="19"/>
  <c r="D132" i="29"/>
  <c r="E166" i="29"/>
  <c r="C33" i="81" l="1"/>
  <c r="L24" i="50" s="1"/>
  <c r="D66" i="81"/>
  <c r="C36" i="81"/>
  <c r="N24" i="50" s="1"/>
  <c r="D69" i="81"/>
  <c r="C37" i="81"/>
  <c r="D70" i="81"/>
  <c r="C70" i="81" s="1"/>
  <c r="C74" i="81"/>
  <c r="C85" i="81"/>
  <c r="C83" i="81"/>
  <c r="C81" i="81"/>
  <c r="C79" i="81"/>
  <c r="C77" i="81"/>
  <c r="C75" i="81"/>
  <c r="C80" i="81"/>
  <c r="C76" i="81"/>
  <c r="C84" i="81"/>
  <c r="C82" i="81"/>
  <c r="C78" i="81"/>
  <c r="C34" i="81"/>
  <c r="R24" i="50" s="1"/>
  <c r="D67" i="81"/>
  <c r="C32" i="81"/>
  <c r="J24" i="50" s="1"/>
  <c r="D65" i="81"/>
  <c r="D43" i="19"/>
  <c r="C43" i="19" s="1"/>
  <c r="D41" i="19"/>
  <c r="C41" i="19" s="1"/>
  <c r="D42" i="19"/>
  <c r="C42" i="19" s="1"/>
  <c r="D157" i="19"/>
  <c r="C157" i="19" s="1"/>
  <c r="D156" i="19"/>
  <c r="C156" i="19" s="1"/>
  <c r="D51" i="19"/>
  <c r="D53" i="19"/>
  <c r="C53" i="19" s="1"/>
  <c r="D38" i="19"/>
  <c r="D52" i="19"/>
  <c r="C52" i="19" s="1"/>
  <c r="D123" i="19"/>
  <c r="C123" i="19" s="1"/>
  <c r="D130" i="19"/>
  <c r="C130" i="19" s="1"/>
  <c r="D125" i="19"/>
  <c r="C125" i="19" s="1"/>
  <c r="D122" i="19"/>
  <c r="C122" i="19" s="1"/>
  <c r="D128" i="19"/>
  <c r="C128" i="19" s="1"/>
  <c r="D119" i="19"/>
  <c r="C119" i="19" s="1"/>
  <c r="D124" i="19"/>
  <c r="C124" i="19" s="1"/>
  <c r="D129" i="19"/>
  <c r="C129" i="19" s="1"/>
  <c r="D158" i="19"/>
  <c r="C158" i="19" s="1"/>
  <c r="D82" i="19"/>
  <c r="C82" i="19" s="1"/>
  <c r="D101" i="19"/>
  <c r="C101" i="19" s="1"/>
  <c r="D93" i="19"/>
  <c r="C93" i="19" s="1"/>
  <c r="D68" i="19"/>
  <c r="C68" i="19" s="1"/>
  <c r="D77" i="19"/>
  <c r="C77" i="19" s="1"/>
  <c r="D94" i="19"/>
  <c r="C94" i="19" s="1"/>
  <c r="D97" i="19"/>
  <c r="C97" i="19" s="1"/>
  <c r="D102" i="19"/>
  <c r="C102" i="19" s="1"/>
  <c r="D83" i="19"/>
  <c r="C83" i="19" s="1"/>
  <c r="D85" i="19"/>
  <c r="C85" i="19" s="1"/>
  <c r="D73" i="19"/>
  <c r="C73" i="19" s="1"/>
  <c r="D78" i="19"/>
  <c r="C78" i="19" s="1"/>
  <c r="D107" i="19"/>
  <c r="C107" i="19" s="1"/>
  <c r="D100" i="19"/>
  <c r="D98" i="19"/>
  <c r="D47" i="19" s="1"/>
  <c r="U21" i="50" s="1"/>
  <c r="D80" i="19"/>
  <c r="C80" i="19" s="1"/>
  <c r="D75" i="19"/>
  <c r="C75" i="19" s="1"/>
  <c r="D69" i="19"/>
  <c r="C69" i="19" s="1"/>
  <c r="D106" i="19"/>
  <c r="C106" i="19" s="1"/>
  <c r="D96" i="19"/>
  <c r="C96" i="19" s="1"/>
  <c r="D72" i="19"/>
  <c r="C72" i="19" s="1"/>
  <c r="D71" i="19"/>
  <c r="C71" i="19" s="1"/>
  <c r="D84" i="19"/>
  <c r="D99" i="19"/>
  <c r="C99" i="19" s="1"/>
  <c r="D95" i="19"/>
  <c r="C95" i="19" s="1"/>
  <c r="D86" i="19"/>
  <c r="C86" i="19" s="1"/>
  <c r="D64" i="19"/>
  <c r="D87" i="19"/>
  <c r="C87" i="19" s="1"/>
  <c r="D74" i="19"/>
  <c r="C74" i="19" s="1"/>
  <c r="D76" i="19"/>
  <c r="C76" i="19" s="1"/>
  <c r="D79" i="19"/>
  <c r="C79" i="19" s="1"/>
  <c r="D90" i="19"/>
  <c r="D81" i="19"/>
  <c r="C81" i="19" s="1"/>
  <c r="D65" i="19"/>
  <c r="C65" i="19" s="1"/>
  <c r="D70" i="19"/>
  <c r="C70" i="19" s="1"/>
  <c r="D105" i="19"/>
  <c r="C105" i="19" s="1"/>
  <c r="D67" i="19"/>
  <c r="C67" i="19" s="1"/>
  <c r="D66" i="19"/>
  <c r="C66" i="19" s="1"/>
  <c r="D51" i="81"/>
  <c r="D49" i="81"/>
  <c r="D47" i="81"/>
  <c r="D45" i="81"/>
  <c r="D43" i="81"/>
  <c r="D41" i="81"/>
  <c r="D48" i="81"/>
  <c r="D52" i="81"/>
  <c r="D50" i="81"/>
  <c r="D42" i="81"/>
  <c r="D46" i="81"/>
  <c r="D44" i="81"/>
  <c r="C38" i="19" l="1"/>
  <c r="C69" i="81"/>
  <c r="N25" i="50" s="1"/>
  <c r="O25" i="50"/>
  <c r="C67" i="81"/>
  <c r="R25" i="50" s="1"/>
  <c r="S25" i="50"/>
  <c r="C66" i="81"/>
  <c r="L25" i="50" s="1"/>
  <c r="M25" i="50"/>
  <c r="C65" i="81"/>
  <c r="J25" i="50" s="1"/>
  <c r="K25" i="50"/>
  <c r="C90" i="19"/>
  <c r="C44" i="19" s="1"/>
  <c r="D44" i="19"/>
  <c r="C100" i="19"/>
  <c r="C48" i="19" s="1"/>
  <c r="D48" i="19"/>
  <c r="D54" i="19"/>
  <c r="C51" i="19"/>
  <c r="D159" i="19"/>
  <c r="C159" i="19" s="1"/>
  <c r="D131" i="19"/>
  <c r="U23" i="50"/>
  <c r="C64" i="19"/>
  <c r="C98" i="19"/>
  <c r="C84" i="19"/>
  <c r="D153" i="19"/>
  <c r="D151" i="19"/>
  <c r="D149" i="19"/>
  <c r="D147" i="19"/>
  <c r="D145" i="19"/>
  <c r="D143" i="19"/>
  <c r="D152" i="19"/>
  <c r="D150" i="19"/>
  <c r="D148" i="19"/>
  <c r="D146" i="19"/>
  <c r="D144" i="19"/>
  <c r="D142" i="19"/>
  <c r="D108" i="19"/>
  <c r="C52" i="81"/>
  <c r="C50" i="81"/>
  <c r="C48" i="81"/>
  <c r="C46" i="81"/>
  <c r="C44" i="81"/>
  <c r="C42" i="81"/>
  <c r="C49" i="81"/>
  <c r="C45" i="81"/>
  <c r="C41" i="81"/>
  <c r="C51" i="81"/>
  <c r="C47" i="81"/>
  <c r="C43" i="81"/>
  <c r="W21" i="50" l="1"/>
  <c r="C54" i="19"/>
  <c r="X21" i="50" s="1"/>
  <c r="Y21" i="50"/>
  <c r="C47" i="19"/>
  <c r="T21" i="50" s="1"/>
  <c r="C131" i="19"/>
  <c r="T23" i="50"/>
  <c r="C108" i="19"/>
  <c r="C153" i="19"/>
  <c r="C151" i="19"/>
  <c r="C149" i="19"/>
  <c r="C147" i="19"/>
  <c r="C145" i="19"/>
  <c r="C143" i="19"/>
  <c r="C150" i="19"/>
  <c r="C148" i="19"/>
  <c r="C146" i="19"/>
  <c r="C142" i="19"/>
  <c r="C152" i="19"/>
  <c r="C144" i="19"/>
  <c r="D174" i="29"/>
  <c r="D171" i="29"/>
  <c r="D182" i="29"/>
  <c r="D181" i="29"/>
  <c r="D180" i="29"/>
  <c r="D176" i="29"/>
  <c r="D177" i="29"/>
  <c r="D175" i="29"/>
  <c r="D161" i="29"/>
  <c r="G19" i="50" s="1"/>
  <c r="D162" i="29"/>
  <c r="I19" i="50" s="1"/>
  <c r="D163" i="29"/>
  <c r="K19" i="50" s="1"/>
  <c r="D164" i="29"/>
  <c r="M19" i="50" s="1"/>
  <c r="D165" i="29"/>
  <c r="O19" i="50" s="1"/>
  <c r="D166" i="29"/>
  <c r="D167" i="29"/>
  <c r="S19" i="50" s="1"/>
  <c r="E19" i="50"/>
  <c r="D98" i="29"/>
  <c r="K18" i="50" s="1"/>
  <c r="V21" i="50" l="1"/>
  <c r="W19" i="50"/>
  <c r="D183" i="29"/>
  <c r="Y19" i="50" s="1"/>
  <c r="D136" i="29"/>
  <c r="D137" i="29"/>
  <c r="D138" i="29"/>
  <c r="D139" i="29"/>
  <c r="D140" i="29"/>
  <c r="U18" i="50" s="1"/>
  <c r="D141" i="29"/>
  <c r="D142" i="29"/>
  <c r="D143" i="29"/>
  <c r="D144" i="29"/>
  <c r="D135" i="29"/>
  <c r="D107" i="29"/>
  <c r="D108" i="29"/>
  <c r="D109" i="29"/>
  <c r="D110" i="29"/>
  <c r="D111" i="29"/>
  <c r="D112" i="29"/>
  <c r="D113" i="29"/>
  <c r="D114" i="29"/>
  <c r="D115" i="29"/>
  <c r="D116" i="29"/>
  <c r="D117" i="29"/>
  <c r="D118" i="29"/>
  <c r="D119" i="29"/>
  <c r="D120" i="29"/>
  <c r="D121" i="29"/>
  <c r="D122" i="29"/>
  <c r="D123" i="29"/>
  <c r="D124" i="29"/>
  <c r="D125" i="29"/>
  <c r="D126" i="29"/>
  <c r="D127" i="29"/>
  <c r="D128" i="29"/>
  <c r="D129" i="29"/>
  <c r="D106" i="29"/>
  <c r="D96" i="29"/>
  <c r="G18" i="50" s="1"/>
  <c r="D97" i="29"/>
  <c r="I18" i="50" s="1"/>
  <c r="D99" i="29"/>
  <c r="M18" i="50" s="1"/>
  <c r="D100" i="29"/>
  <c r="O18" i="50" s="1"/>
  <c r="D101" i="29"/>
  <c r="Q18" i="50" s="1"/>
  <c r="D102" i="29"/>
  <c r="S18" i="50" s="1"/>
  <c r="E18" i="50"/>
  <c r="W18" i="50" l="1"/>
  <c r="C16" i="29" l="1"/>
  <c r="D32" i="29" s="1"/>
  <c r="K16" i="50" l="1"/>
  <c r="D65" i="29"/>
  <c r="D36" i="29"/>
  <c r="D37" i="29"/>
  <c r="D70" i="29" s="1"/>
  <c r="D33" i="29"/>
  <c r="D34" i="29"/>
  <c r="L18" i="29"/>
  <c r="C19" i="29" s="1"/>
  <c r="D213" i="29" l="1"/>
  <c r="J6" i="29"/>
  <c r="K17" i="50"/>
  <c r="D198" i="29"/>
  <c r="O20" i="50" s="1"/>
  <c r="D195" i="29"/>
  <c r="I20" i="50" s="1"/>
  <c r="D69" i="29"/>
  <c r="O17" i="50" s="1"/>
  <c r="O16" i="50"/>
  <c r="D67" i="29"/>
  <c r="S17" i="50" s="1"/>
  <c r="S16" i="50"/>
  <c r="D66" i="29"/>
  <c r="M17" i="50" s="1"/>
  <c r="M16" i="50"/>
  <c r="D214" i="29"/>
  <c r="D207" i="29"/>
  <c r="D194" i="29"/>
  <c r="G20" i="50" s="1"/>
  <c r="D208" i="29"/>
  <c r="D215" i="29"/>
  <c r="D209" i="29"/>
  <c r="C19" i="81"/>
  <c r="D204" i="29"/>
  <c r="D193" i="29"/>
  <c r="E20" i="50" s="1"/>
  <c r="E15" i="50" s="1"/>
  <c r="D210" i="29"/>
  <c r="D200" i="29"/>
  <c r="S20" i="50" s="1"/>
  <c r="D196" i="29"/>
  <c r="K20" i="50" s="1"/>
  <c r="K15" i="50" s="1"/>
  <c r="D197" i="29"/>
  <c r="M20" i="50" s="1"/>
  <c r="D75" i="29"/>
  <c r="D77" i="29"/>
  <c r="D79" i="29"/>
  <c r="D81" i="29"/>
  <c r="D83" i="29"/>
  <c r="D85" i="29"/>
  <c r="D82" i="29"/>
  <c r="D74" i="29"/>
  <c r="D76" i="29"/>
  <c r="D78" i="29"/>
  <c r="D80" i="29"/>
  <c r="U17" i="50" s="1"/>
  <c r="D84" i="29"/>
  <c r="D43" i="29"/>
  <c r="D45" i="29"/>
  <c r="D47" i="29"/>
  <c r="U16" i="50" s="1"/>
  <c r="D49" i="29"/>
  <c r="D51" i="29"/>
  <c r="D44" i="29"/>
  <c r="D46" i="29"/>
  <c r="D48" i="29"/>
  <c r="D50" i="29"/>
  <c r="D52" i="29"/>
  <c r="D41" i="29"/>
  <c r="D42" i="29"/>
  <c r="O15" i="50" l="1"/>
  <c r="M15" i="50"/>
  <c r="J6" i="81"/>
  <c r="D210" i="81"/>
  <c r="C210" i="81" s="1"/>
  <c r="D200" i="81"/>
  <c r="D195" i="81"/>
  <c r="D193" i="81"/>
  <c r="D209" i="81"/>
  <c r="C209" i="81" s="1"/>
  <c r="D198" i="81"/>
  <c r="D208" i="81"/>
  <c r="C208" i="81" s="1"/>
  <c r="D194" i="81"/>
  <c r="D207" i="81"/>
  <c r="C207" i="81" s="1"/>
  <c r="D215" i="81"/>
  <c r="C215" i="81" s="1"/>
  <c r="D213" i="81"/>
  <c r="D214" i="81"/>
  <c r="C214" i="81" s="1"/>
  <c r="D196" i="81"/>
  <c r="D204" i="81"/>
  <c r="D197" i="81"/>
  <c r="S15" i="50"/>
  <c r="D216" i="29"/>
  <c r="Y20" i="50" s="1"/>
  <c r="W20" i="50"/>
  <c r="Q23" i="50"/>
  <c r="U15" i="50"/>
  <c r="P23" i="50"/>
  <c r="W16" i="50"/>
  <c r="W17" i="50"/>
  <c r="I16" i="50"/>
  <c r="I15" i="50" s="1"/>
  <c r="G15" i="50"/>
  <c r="C2" i="20"/>
  <c r="C3" i="20"/>
  <c r="C4" i="20"/>
  <c r="C5" i="20"/>
  <c r="C2" i="24"/>
  <c r="C3" i="24"/>
  <c r="C4" i="24"/>
  <c r="C5" i="24"/>
  <c r="C2" i="25"/>
  <c r="C3" i="25"/>
  <c r="C4" i="25"/>
  <c r="C5" i="25"/>
  <c r="C2" i="31"/>
  <c r="C3" i="31"/>
  <c r="C4" i="31"/>
  <c r="C5" i="31"/>
  <c r="C2" i="42"/>
  <c r="C3" i="42"/>
  <c r="C4" i="42"/>
  <c r="C5" i="42"/>
  <c r="C2" i="46"/>
  <c r="C3" i="46"/>
  <c r="C4" i="46"/>
  <c r="C5" i="46"/>
  <c r="C2" i="50"/>
  <c r="C3" i="50"/>
  <c r="C4" i="50"/>
  <c r="C5" i="50"/>
  <c r="C2" i="51"/>
  <c r="C3" i="51"/>
  <c r="C4" i="51"/>
  <c r="C5" i="51"/>
  <c r="C2" i="29"/>
  <c r="C3" i="29"/>
  <c r="C4" i="29"/>
  <c r="C5" i="29"/>
  <c r="B3" i="20"/>
  <c r="B4" i="20"/>
  <c r="B5" i="20"/>
  <c r="B3" i="24"/>
  <c r="B4" i="24"/>
  <c r="B5" i="24"/>
  <c r="B3" i="25"/>
  <c r="B4" i="25"/>
  <c r="B5" i="25"/>
  <c r="B3" i="31"/>
  <c r="B4" i="31"/>
  <c r="B5" i="31"/>
  <c r="B3" i="42"/>
  <c r="B4" i="42"/>
  <c r="B5" i="42"/>
  <c r="B3" i="46"/>
  <c r="B4" i="46"/>
  <c r="B5" i="46"/>
  <c r="B3" i="50"/>
  <c r="B4" i="50"/>
  <c r="B5" i="50"/>
  <c r="B3" i="51"/>
  <c r="B4" i="51"/>
  <c r="B5" i="51"/>
  <c r="B3" i="29"/>
  <c r="B4" i="29"/>
  <c r="B5" i="29"/>
  <c r="B2" i="20"/>
  <c r="B2" i="24"/>
  <c r="B2" i="25"/>
  <c r="B2" i="31"/>
  <c r="B2" i="42"/>
  <c r="B2" i="46"/>
  <c r="B2" i="50"/>
  <c r="B2" i="51"/>
  <c r="B2" i="29"/>
  <c r="C196" i="81" l="1"/>
  <c r="J28" i="50" s="1"/>
  <c r="J23" i="50" s="1"/>
  <c r="K28" i="50"/>
  <c r="K23" i="50" s="1"/>
  <c r="C193" i="81"/>
  <c r="D28" i="50" s="1"/>
  <c r="D23" i="50" s="1"/>
  <c r="E28" i="50"/>
  <c r="E23" i="50" s="1"/>
  <c r="D216" i="81"/>
  <c r="C213" i="81"/>
  <c r="I28" i="50"/>
  <c r="I23" i="50" s="1"/>
  <c r="C195" i="81"/>
  <c r="H28" i="50" s="1"/>
  <c r="H23" i="50" s="1"/>
  <c r="C200" i="81"/>
  <c r="R28" i="50" s="1"/>
  <c r="R23" i="50" s="1"/>
  <c r="S28" i="50"/>
  <c r="S23" i="50" s="1"/>
  <c r="C204" i="81"/>
  <c r="V28" i="50" s="1"/>
  <c r="V23" i="50" s="1"/>
  <c r="W28" i="50"/>
  <c r="W23" i="50" s="1"/>
  <c r="G28" i="50"/>
  <c r="G23" i="50" s="1"/>
  <c r="C194" i="81"/>
  <c r="F28" i="50" s="1"/>
  <c r="F23" i="50" s="1"/>
  <c r="O28" i="50"/>
  <c r="O23" i="50" s="1"/>
  <c r="O60" i="50" s="1"/>
  <c r="D17" i="51" s="1"/>
  <c r="C198" i="81"/>
  <c r="N28" i="50" s="1"/>
  <c r="N23" i="50" s="1"/>
  <c r="C197" i="81"/>
  <c r="L28" i="50" s="1"/>
  <c r="L23" i="50" s="1"/>
  <c r="M28" i="50"/>
  <c r="M23" i="50" s="1"/>
  <c r="W15" i="50"/>
  <c r="D31" i="25"/>
  <c r="I41" i="50" s="1"/>
  <c r="D30" i="25"/>
  <c r="G41" i="50" s="1"/>
  <c r="D29" i="25"/>
  <c r="E41" i="50" s="1"/>
  <c r="Y28" i="50" l="1"/>
  <c r="C216" i="81"/>
  <c r="X28" i="50" s="1"/>
  <c r="X23" i="50" s="1"/>
  <c r="Y23" i="50"/>
  <c r="D37" i="25"/>
  <c r="D39" i="25"/>
  <c r="D41" i="25"/>
  <c r="U41" i="50" s="1"/>
  <c r="D43" i="25"/>
  <c r="D45" i="25"/>
  <c r="D36" i="25"/>
  <c r="D38" i="25"/>
  <c r="D40" i="25"/>
  <c r="D42" i="25"/>
  <c r="D44" i="25"/>
  <c r="D35" i="25"/>
  <c r="W41" i="50" l="1"/>
  <c r="D149" i="29"/>
  <c r="D148" i="29"/>
  <c r="D147" i="29"/>
  <c r="C26" i="42" l="1"/>
  <c r="R39" i="50" s="1"/>
  <c r="C24" i="42"/>
  <c r="F39" i="50" s="1"/>
  <c r="C23" i="42"/>
  <c r="C25" i="42"/>
  <c r="H39" i="50" s="1"/>
  <c r="D39" i="50" l="1"/>
  <c r="C34" i="42"/>
  <c r="C38" i="42"/>
  <c r="C30" i="42"/>
  <c r="C36" i="42"/>
  <c r="C33" i="42"/>
  <c r="C41" i="42"/>
  <c r="C31" i="42"/>
  <c r="C35" i="42"/>
  <c r="C39" i="42"/>
  <c r="C32" i="42"/>
  <c r="C40" i="42"/>
  <c r="C37" i="42"/>
  <c r="T39" i="50"/>
  <c r="V39" i="50" l="1"/>
  <c r="C12" i="46"/>
  <c r="C27" i="46" l="1"/>
  <c r="J38" i="50" s="1"/>
  <c r="C30" i="46"/>
  <c r="P38" i="50" s="1"/>
  <c r="C60" i="46"/>
  <c r="C61" i="46"/>
  <c r="D119" i="46"/>
  <c r="C119" i="46" s="1"/>
  <c r="C120" i="46"/>
  <c r="C31" i="46"/>
  <c r="C25" i="46"/>
  <c r="C29" i="46"/>
  <c r="C24" i="46"/>
  <c r="C28" i="46"/>
  <c r="C26" i="46"/>
  <c r="C129" i="46"/>
  <c r="C127" i="46"/>
  <c r="C73" i="46"/>
  <c r="C97" i="46"/>
  <c r="C77" i="46"/>
  <c r="C91" i="46"/>
  <c r="C107" i="46"/>
  <c r="C135" i="46"/>
  <c r="C134" i="46"/>
  <c r="C98" i="46"/>
  <c r="C80" i="46"/>
  <c r="C102" i="46"/>
  <c r="C94" i="46"/>
  <c r="C79" i="46"/>
  <c r="C101" i="46"/>
  <c r="C45" i="46" s="1"/>
  <c r="C106" i="46"/>
  <c r="C65" i="46"/>
  <c r="C74" i="46"/>
  <c r="C66" i="46"/>
  <c r="C72" i="46"/>
  <c r="C108" i="46"/>
  <c r="C99" i="46"/>
  <c r="C44" i="46" s="1"/>
  <c r="T38" i="50" s="1"/>
  <c r="C87" i="46"/>
  <c r="C78" i="46"/>
  <c r="C88" i="46"/>
  <c r="C75" i="46"/>
  <c r="C100" i="46"/>
  <c r="C70" i="46"/>
  <c r="C96" i="46"/>
  <c r="C128" i="46"/>
  <c r="C69" i="46"/>
  <c r="C124" i="46"/>
  <c r="C67" i="46"/>
  <c r="C40" i="46"/>
  <c r="C38" i="46"/>
  <c r="C82" i="46"/>
  <c r="C103" i="46"/>
  <c r="C86" i="46"/>
  <c r="C71" i="46"/>
  <c r="C133" i="46"/>
  <c r="C81" i="46"/>
  <c r="C39" i="46"/>
  <c r="C130" i="46"/>
  <c r="C68" i="46"/>
  <c r="C95" i="46"/>
  <c r="C50" i="46"/>
  <c r="C76" i="46"/>
  <c r="C85" i="46"/>
  <c r="C49" i="46"/>
  <c r="C84" i="46"/>
  <c r="C83" i="46"/>
  <c r="C136" i="46"/>
  <c r="C48" i="46"/>
  <c r="C109" i="46"/>
  <c r="C35" i="46"/>
  <c r="C51" i="46"/>
  <c r="X38" i="50" s="1"/>
  <c r="C41" i="46" l="1"/>
  <c r="V38" i="50" s="1"/>
  <c r="C12" i="31"/>
  <c r="K37" i="50" s="1"/>
  <c r="K60" i="50" s="1"/>
  <c r="C26" i="31" l="1"/>
  <c r="J37" i="50" s="1"/>
  <c r="C12" i="29"/>
  <c r="D35" i="29" l="1"/>
  <c r="Q16" i="50" s="1"/>
  <c r="D199" i="29"/>
  <c r="Q20" i="50" s="1"/>
  <c r="D68" i="29"/>
  <c r="Q17" i="50" s="1"/>
  <c r="C32" i="29"/>
  <c r="J16" i="50" s="1"/>
  <c r="C65" i="29"/>
  <c r="J17" i="50" s="1"/>
  <c r="C36" i="29"/>
  <c r="N16" i="50" s="1"/>
  <c r="C66" i="29"/>
  <c r="L17" i="50" s="1"/>
  <c r="C37" i="29"/>
  <c r="C70" i="29"/>
  <c r="C67" i="29"/>
  <c r="R17" i="50" s="1"/>
  <c r="C69" i="29"/>
  <c r="N17" i="50" s="1"/>
  <c r="C34" i="29"/>
  <c r="R16" i="50" s="1"/>
  <c r="C33" i="29"/>
  <c r="L16" i="50" s="1"/>
  <c r="C132" i="29"/>
  <c r="C210" i="29"/>
  <c r="C208" i="29"/>
  <c r="C197" i="29"/>
  <c r="L20" i="50" s="1"/>
  <c r="C193" i="29"/>
  <c r="D20" i="50" s="1"/>
  <c r="C209" i="29"/>
  <c r="C213" i="29"/>
  <c r="C194" i="29"/>
  <c r="F20" i="50" s="1"/>
  <c r="C207" i="29"/>
  <c r="C198" i="29"/>
  <c r="N20" i="50" s="1"/>
  <c r="C216" i="29"/>
  <c r="X20" i="50" s="1"/>
  <c r="C200" i="29"/>
  <c r="R20" i="50" s="1"/>
  <c r="C204" i="29"/>
  <c r="C195" i="29"/>
  <c r="H20" i="50" s="1"/>
  <c r="C214" i="29"/>
  <c r="P20" i="50"/>
  <c r="C196" i="29"/>
  <c r="J20" i="50" s="1"/>
  <c r="C215" i="29"/>
  <c r="C174" i="29"/>
  <c r="C163" i="29"/>
  <c r="J19" i="50" s="1"/>
  <c r="C98" i="29"/>
  <c r="J18" i="50" s="1"/>
  <c r="C176" i="29"/>
  <c r="C171" i="29"/>
  <c r="C167" i="29"/>
  <c r="R19" i="50" s="1"/>
  <c r="C165" i="29"/>
  <c r="N19" i="50" s="1"/>
  <c r="C162" i="29"/>
  <c r="H19" i="50" s="1"/>
  <c r="C160" i="29"/>
  <c r="D19" i="50" s="1"/>
  <c r="C177" i="29"/>
  <c r="C164" i="29"/>
  <c r="L19" i="50" s="1"/>
  <c r="C175" i="29"/>
  <c r="C166" i="29"/>
  <c r="C161" i="29"/>
  <c r="F19" i="50" s="1"/>
  <c r="C181" i="29"/>
  <c r="C182" i="29"/>
  <c r="C180" i="29"/>
  <c r="C183" i="29"/>
  <c r="X19" i="50" s="1"/>
  <c r="P16" i="50"/>
  <c r="F16" i="50"/>
  <c r="H16" i="50"/>
  <c r="D16" i="50"/>
  <c r="V20" i="50" l="1"/>
  <c r="J15" i="50"/>
  <c r="P19" i="50"/>
  <c r="Q19" i="50"/>
  <c r="V19" i="50"/>
  <c r="C75" i="29"/>
  <c r="C77" i="29"/>
  <c r="C79" i="29"/>
  <c r="C81" i="29"/>
  <c r="C83" i="29"/>
  <c r="C85" i="29"/>
  <c r="C80" i="29"/>
  <c r="T17" i="50" s="1"/>
  <c r="C84" i="29"/>
  <c r="C74" i="29"/>
  <c r="C76" i="29"/>
  <c r="C78" i="29"/>
  <c r="C82" i="29"/>
  <c r="C43" i="29"/>
  <c r="C41" i="29"/>
  <c r="C45" i="29"/>
  <c r="C47" i="29"/>
  <c r="T16" i="50" s="1"/>
  <c r="C49" i="29"/>
  <c r="C51" i="29"/>
  <c r="C42" i="29"/>
  <c r="C44" i="29"/>
  <c r="C46" i="29"/>
  <c r="C48" i="29"/>
  <c r="C50" i="29"/>
  <c r="C52" i="29"/>
  <c r="C12" i="25"/>
  <c r="C12" i="24"/>
  <c r="C12" i="20"/>
  <c r="Q15" i="50" l="1"/>
  <c r="V16" i="50"/>
  <c r="V17" i="50"/>
  <c r="J30" i="50"/>
  <c r="J60" i="50" s="1"/>
  <c r="C25" i="24"/>
  <c r="N30" i="50" s="1"/>
  <c r="C29" i="25"/>
  <c r="D41" i="50" s="1"/>
  <c r="C30" i="25"/>
  <c r="F41" i="50" s="1"/>
  <c r="C31" i="25"/>
  <c r="H41" i="50" s="1"/>
  <c r="C36" i="25" l="1"/>
  <c r="C38" i="25"/>
  <c r="C40" i="25"/>
  <c r="C42" i="25"/>
  <c r="C44" i="25"/>
  <c r="C35" i="25"/>
  <c r="C39" i="25"/>
  <c r="C45" i="25"/>
  <c r="C37" i="25"/>
  <c r="C41" i="25"/>
  <c r="T41" i="50" s="1"/>
  <c r="C43" i="25"/>
  <c r="D48" i="20"/>
  <c r="D49" i="20"/>
  <c r="C49" i="20" s="1"/>
  <c r="D50" i="20"/>
  <c r="C50" i="20" s="1"/>
  <c r="D29" i="20"/>
  <c r="M60" i="50"/>
  <c r="D16" i="51" s="1"/>
  <c r="D30" i="20"/>
  <c r="D30" i="50"/>
  <c r="H30" i="50"/>
  <c r="F30" i="50"/>
  <c r="V41" i="50" l="1"/>
  <c r="S60" i="50"/>
  <c r="D19" i="51" s="1"/>
  <c r="Q60" i="50"/>
  <c r="D18" i="51" s="1"/>
  <c r="C31" i="24"/>
  <c r="C33" i="24"/>
  <c r="C35" i="24"/>
  <c r="T30" i="50" s="1"/>
  <c r="C37" i="24"/>
  <c r="C39" i="24"/>
  <c r="C29" i="24"/>
  <c r="C30" i="24"/>
  <c r="C34" i="24"/>
  <c r="C36" i="24"/>
  <c r="C38" i="24"/>
  <c r="C32" i="24"/>
  <c r="C40" i="24"/>
  <c r="D51" i="20"/>
  <c r="C48" i="20"/>
  <c r="C51" i="20" l="1"/>
  <c r="V30" i="50"/>
  <c r="D26" i="20"/>
  <c r="C26" i="20" l="1"/>
  <c r="D25" i="20"/>
  <c r="D24" i="20"/>
  <c r="D36" i="20" l="1"/>
  <c r="D40" i="20"/>
  <c r="D44" i="20"/>
  <c r="D37" i="20"/>
  <c r="D41" i="20"/>
  <c r="D45" i="20"/>
  <c r="D38" i="20"/>
  <c r="D42" i="20"/>
  <c r="D34" i="20"/>
  <c r="D35" i="20"/>
  <c r="D39" i="20"/>
  <c r="D43" i="20"/>
  <c r="C149" i="29"/>
  <c r="C147" i="29"/>
  <c r="C24" i="20"/>
  <c r="C27" i="20"/>
  <c r="C29" i="20"/>
  <c r="C30" i="20"/>
  <c r="C25" i="20"/>
  <c r="C143" i="29"/>
  <c r="C112" i="29"/>
  <c r="C120" i="29"/>
  <c r="C129" i="29"/>
  <c r="C142" i="29"/>
  <c r="C111" i="29"/>
  <c r="C119" i="29"/>
  <c r="C128" i="29"/>
  <c r="C114" i="29"/>
  <c r="C122" i="29"/>
  <c r="C136" i="29"/>
  <c r="C144" i="29"/>
  <c r="C113" i="29"/>
  <c r="C121" i="29"/>
  <c r="C135" i="29"/>
  <c r="C108" i="29"/>
  <c r="C116" i="29"/>
  <c r="C125" i="29"/>
  <c r="C138" i="29"/>
  <c r="C107" i="29"/>
  <c r="C115" i="29"/>
  <c r="C124" i="29"/>
  <c r="C137" i="29"/>
  <c r="C110" i="29"/>
  <c r="C118" i="29"/>
  <c r="C127" i="29"/>
  <c r="C109" i="29"/>
  <c r="C117" i="29"/>
  <c r="C126" i="29"/>
  <c r="C139" i="29"/>
  <c r="C36" i="20" l="1"/>
  <c r="C40" i="20"/>
  <c r="C44" i="20"/>
  <c r="C37" i="20"/>
  <c r="C41" i="20"/>
  <c r="C45" i="20"/>
  <c r="C38" i="20"/>
  <c r="C42" i="20"/>
  <c r="C34" i="20"/>
  <c r="C35" i="20"/>
  <c r="C39" i="20"/>
  <c r="C43" i="20"/>
  <c r="D150" i="29"/>
  <c r="Y18" i="50" s="1"/>
  <c r="C141" i="29"/>
  <c r="C123" i="29"/>
  <c r="C140" i="29"/>
  <c r="T18" i="50" s="1"/>
  <c r="T15" i="50" s="1"/>
  <c r="C96" i="29"/>
  <c r="F18" i="50" s="1"/>
  <c r="F15" i="50" s="1"/>
  <c r="C100" i="29"/>
  <c r="N18" i="50" s="1"/>
  <c r="C102" i="29"/>
  <c r="R18" i="50" s="1"/>
  <c r="C95" i="29"/>
  <c r="D18" i="50" s="1"/>
  <c r="D15" i="50" s="1"/>
  <c r="C101" i="29"/>
  <c r="P18" i="50" s="1"/>
  <c r="C99" i="29"/>
  <c r="L18" i="50" s="1"/>
  <c r="C97" i="29"/>
  <c r="H18" i="50" s="1"/>
  <c r="H15" i="50" s="1"/>
  <c r="C106" i="29"/>
  <c r="C148" i="29"/>
  <c r="C15" i="31"/>
  <c r="V18" i="50" l="1"/>
  <c r="V15" i="50" s="1"/>
  <c r="R15" i="50"/>
  <c r="R60" i="50" s="1"/>
  <c r="C19" i="51" s="1"/>
  <c r="L15" i="50"/>
  <c r="L60" i="50" s="1"/>
  <c r="C16" i="51" s="1"/>
  <c r="N15" i="50"/>
  <c r="N60" i="50" s="1"/>
  <c r="C17" i="51" s="1"/>
  <c r="P15" i="50"/>
  <c r="P60" i="50" s="1"/>
  <c r="C18" i="51" s="1"/>
  <c r="Y15" i="50"/>
  <c r="Y60" i="50" s="1"/>
  <c r="D22" i="51" s="1"/>
  <c r="G37" i="50"/>
  <c r="G60" i="50" s="1"/>
  <c r="D14" i="51" s="1"/>
  <c r="E37" i="50"/>
  <c r="E60" i="50" s="1"/>
  <c r="D13" i="51" s="1"/>
  <c r="C150" i="29"/>
  <c r="X18" i="50" s="1"/>
  <c r="X15" i="50" l="1"/>
  <c r="X60" i="50" s="1"/>
  <c r="C22" i="51" s="1"/>
  <c r="H37" i="50"/>
  <c r="H60" i="50" s="1"/>
  <c r="C15" i="51" s="1"/>
  <c r="I37" i="50"/>
  <c r="I60" i="50" s="1"/>
  <c r="D15" i="51" s="1"/>
  <c r="D37" i="50"/>
  <c r="D60" i="50" s="1"/>
  <c r="C13" i="51" s="1"/>
  <c r="D40" i="31"/>
  <c r="D38" i="31"/>
  <c r="D36" i="31"/>
  <c r="U37" i="50" s="1"/>
  <c r="U60" i="50" s="1"/>
  <c r="D20" i="51" s="1"/>
  <c r="D34" i="31"/>
  <c r="D32" i="31"/>
  <c r="D30" i="31"/>
  <c r="D41" i="31"/>
  <c r="D39" i="31"/>
  <c r="D35" i="31"/>
  <c r="D33" i="31"/>
  <c r="D31" i="31"/>
  <c r="D37" i="31"/>
  <c r="F37" i="50"/>
  <c r="F60" i="50" s="1"/>
  <c r="C14" i="51" s="1"/>
  <c r="W37" i="50" l="1"/>
  <c r="W60" i="50" s="1"/>
  <c r="D21" i="51" s="1"/>
  <c r="C41" i="31"/>
  <c r="C39" i="31"/>
  <c r="C37" i="31"/>
  <c r="C35" i="31"/>
  <c r="C33" i="31"/>
  <c r="C31" i="31"/>
  <c r="C38" i="31"/>
  <c r="C36" i="31"/>
  <c r="T37" i="50" s="1"/>
  <c r="T60" i="50" s="1"/>
  <c r="C20" i="51" s="1"/>
  <c r="C34" i="31"/>
  <c r="C30" i="31"/>
  <c r="C40" i="31"/>
  <c r="C32" i="31"/>
  <c r="V37" i="50" l="1"/>
  <c r="V60" i="50" s="1"/>
  <c r="C21" i="5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 Wilson</author>
  </authors>
  <commentList>
    <comment ref="D2" authorId="0" shapeId="0" xr:uid="{F345A1D5-8E60-48A5-B6F1-8354A7E02D6B}">
      <text>
        <r>
          <rPr>
            <b/>
            <sz val="9"/>
            <color indexed="81"/>
            <rFont val="Tahoma"/>
            <family val="2"/>
          </rPr>
          <t>Christi Wilson:</t>
        </r>
        <r>
          <rPr>
            <sz val="9"/>
            <color indexed="81"/>
            <rFont val="Tahoma"/>
            <family val="2"/>
          </rPr>
          <t xml:space="preserve">
This is applied to AP-42, WebFIRE, 40 CFR 98, etc. factors. (i.e., any published factors that are not based on site-specific testing). Per ACHD guidance when calculating PTE.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 Wilson</author>
  </authors>
  <commentList>
    <comment ref="C14" authorId="0" shapeId="0" xr:uid="{4371A684-3860-40B5-A87B-CDBC55E111DB}">
      <text>
        <r>
          <rPr>
            <b/>
            <sz val="9"/>
            <color indexed="81"/>
            <rFont val="Tahoma"/>
            <family val="2"/>
          </rPr>
          <t>Christi Wilson:</t>
        </r>
        <r>
          <rPr>
            <sz val="9"/>
            <color indexed="81"/>
            <rFont val="Tahoma"/>
            <family val="2"/>
          </rPr>
          <t xml:space="preserve">
Current TV permit lists max rate at 3,467,500 tpy steel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Ajenifuja, Hafeez</author>
  </authors>
  <commentList>
    <comment ref="E26" authorId="0" shapeId="0" xr:uid="{9D162DFB-9B81-44C2-97FE-ECC12BF9B8BD}">
      <text>
        <r>
          <rPr>
            <b/>
            <sz val="9"/>
            <color indexed="81"/>
            <rFont val="Tahoma"/>
            <charset val="1"/>
          </rPr>
          <t>Ajenifuja, Hafeez:</t>
        </r>
        <r>
          <rPr>
            <sz val="9"/>
            <color indexed="81"/>
            <rFont val="Tahoma"/>
            <charset val="1"/>
          </rPr>
          <t xml:space="preserve">
Changed the compliance margin to 15%.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Ajenifuja, Hafeez</author>
    <author>tc={FDC3B48F-6E70-4DBA-96C5-B1C1B5547DD4}</author>
  </authors>
  <commentList>
    <comment ref="F20" authorId="0" shapeId="0" xr:uid="{5F0F4671-E012-443B-9AE6-263387EB83D7}">
      <text>
        <r>
          <rPr>
            <b/>
            <sz val="9"/>
            <color indexed="81"/>
            <rFont val="Tahoma"/>
            <charset val="1"/>
          </rPr>
          <t>Ajenifuja, Hafeez:</t>
        </r>
        <r>
          <rPr>
            <sz val="9"/>
            <color indexed="81"/>
            <rFont val="Tahoma"/>
            <charset val="1"/>
          </rPr>
          <t xml:space="preserve">
here is no reason to include the 15% control margin in the key input tab
These are fugitive emissions operation
</t>
        </r>
      </text>
    </comment>
    <comment ref="F43" authorId="0" shapeId="0" xr:uid="{B216A521-8F86-4BDE-B21B-E289DF46D751}">
      <text>
        <r>
          <rPr>
            <b/>
            <sz val="9"/>
            <color indexed="81"/>
            <rFont val="Tahoma"/>
            <charset val="1"/>
          </rPr>
          <t>Ajenifuja, Hafeez:</t>
        </r>
        <r>
          <rPr>
            <sz val="9"/>
            <color indexed="81"/>
            <rFont val="Tahoma"/>
            <charset val="1"/>
          </rPr>
          <t xml:space="preserve">
here is no reason to include the 15% control margin in the key input tab
These are fugitive emissions operation
</t>
        </r>
      </text>
    </comment>
    <comment ref="L93" authorId="1" shapeId="0" xr:uid="{FDC3B48F-6E70-4DBA-96C5-B1C1B5547DD4}">
      <text>
        <t>[Threaded comment]
Your version of Excel allows you to read this threaded comment; however, any edits to it will get removed if the file is opened in a newer version of Excel. Learn more: https://go.microsoft.com/fwlink/?linkid=870924
Comment:
    I changed the 0 to 90% control for wet suppression like the other activities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Ajenifuja, Hafeez</author>
  </authors>
  <commentList>
    <comment ref="F18" authorId="0" shapeId="0" xr:uid="{1D2ED064-5F10-44E0-8879-4DAD45DCB7E7}">
      <text>
        <r>
          <rPr>
            <b/>
            <sz val="9"/>
            <color indexed="81"/>
            <rFont val="Tahoma"/>
            <charset val="1"/>
          </rPr>
          <t>Ajenifuja, Hafeez:</t>
        </r>
        <r>
          <rPr>
            <sz val="9"/>
            <color indexed="81"/>
            <rFont val="Tahoma"/>
            <charset val="1"/>
          </rPr>
          <t xml:space="preserve">
Whats the source of the control efficiency.</t>
        </r>
      </text>
    </comment>
    <comment ref="G18" authorId="0" shapeId="0" xr:uid="{6B00A889-2AE2-456F-91E1-36AB2B3E6370}">
      <text>
        <r>
          <rPr>
            <b/>
            <sz val="9"/>
            <color indexed="81"/>
            <rFont val="Tahoma"/>
            <charset val="1"/>
          </rPr>
          <t>Ajenifuja, Hafeez:</t>
        </r>
        <r>
          <rPr>
            <sz val="9"/>
            <color indexed="81"/>
            <rFont val="Tahoma"/>
            <charset val="1"/>
          </rPr>
          <t xml:space="preserve">
There is no reason to include the 15% control margin in the key input tab
These are fugitive emissions operation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Ajenifuja, Hafeez</author>
  </authors>
  <commentList>
    <comment ref="E29" authorId="0" shapeId="0" xr:uid="{3412E1BC-8D53-45B3-9870-1813627522BB}">
      <text>
        <r>
          <rPr>
            <b/>
            <sz val="9"/>
            <color indexed="81"/>
            <rFont val="Tahoma"/>
            <charset val="1"/>
          </rPr>
          <t>Ajenifuja, Hafeez:</t>
        </r>
        <r>
          <rPr>
            <sz val="9"/>
            <color indexed="81"/>
            <rFont val="Tahoma"/>
            <charset val="1"/>
          </rPr>
          <t xml:space="preserve">
There is no reason to factor in the calculation  the 15% control margin  in the key input tab under cell G2. This is a fugitive emission and was based on the AP 42 equation.</t>
        </r>
      </text>
    </comment>
    <comment ref="C36" authorId="0" shapeId="0" xr:uid="{A4AFABEC-E017-432C-898A-EA9F47D676AD}">
      <text>
        <r>
          <rPr>
            <b/>
            <sz val="9"/>
            <color indexed="81"/>
            <rFont val="Tahoma"/>
            <family val="2"/>
          </rPr>
          <t>Ajenifuja, Hafeez:</t>
        </r>
        <r>
          <rPr>
            <sz val="9"/>
            <color indexed="81"/>
            <rFont val="Tahoma"/>
            <family val="2"/>
          </rPr>
          <t xml:space="preserve">
Whats the source o this control efficiency? And what is it based on
</t>
        </r>
      </text>
    </comment>
    <comment ref="E43" authorId="0" shapeId="0" xr:uid="{AD930E81-1CEC-4099-A985-160CF4BE9CC5}">
      <text>
        <r>
          <rPr>
            <b/>
            <sz val="9"/>
            <color indexed="81"/>
            <rFont val="Tahoma"/>
            <family val="2"/>
          </rPr>
          <t>Ajenifuja, Hafeez:</t>
        </r>
        <r>
          <rPr>
            <sz val="9"/>
            <color indexed="81"/>
            <rFont val="Tahoma"/>
            <family val="2"/>
          </rPr>
          <t xml:space="preserve">
There is no reason to factor in the calculation  the 15% control margin  in the key input tab under cell G2. This is a fugitive emission and was based on the AP 42 equation.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Ajenifuja, Hafeez</author>
  </authors>
  <commentList>
    <comment ref="G51" authorId="0" shapeId="0" xr:uid="{CF334D34-C161-4CCE-890A-F0EC9312AFAC}">
      <text>
        <r>
          <rPr>
            <b/>
            <sz val="9"/>
            <color indexed="81"/>
            <rFont val="Tahoma"/>
            <family val="2"/>
          </rPr>
          <t>Ajenifuja, Hafeez:
HA</t>
        </r>
      </text>
    </comment>
    <comment ref="G53" authorId="0" shapeId="0" xr:uid="{C3CF79D6-422A-4B5C-919D-2AC2941A97CD}">
      <text>
        <r>
          <rPr>
            <b/>
            <sz val="9"/>
            <color indexed="81"/>
            <rFont val="Tahoma"/>
            <family val="2"/>
          </rPr>
          <t>Ajenifuja, Hafeez:</t>
        </r>
        <r>
          <rPr>
            <sz val="9"/>
            <color indexed="81"/>
            <rFont val="Tahoma"/>
            <family val="2"/>
          </rPr>
          <t xml:space="preserve">
HA</t>
        </r>
      </text>
    </comment>
  </commentList>
</comments>
</file>

<file path=xl/sharedStrings.xml><?xml version="1.0" encoding="utf-8"?>
<sst xmlns="http://schemas.openxmlformats.org/spreadsheetml/2006/main" count="5025" uniqueCount="809">
  <si>
    <t>Emission Unit Description</t>
  </si>
  <si>
    <t>Total</t>
  </si>
  <si>
    <t>Company Name:</t>
  </si>
  <si>
    <t>Site Name:</t>
  </si>
  <si>
    <t>Description:</t>
  </si>
  <si>
    <t>lbs/ton</t>
  </si>
  <si>
    <t>tons/yr</t>
  </si>
  <si>
    <t>Manganese</t>
  </si>
  <si>
    <t>gpm</t>
  </si>
  <si>
    <t>gr/dscf</t>
  </si>
  <si>
    <t>hrs/yr</t>
  </si>
  <si>
    <t>Cadmium</t>
  </si>
  <si>
    <t>Nickel</t>
  </si>
  <si>
    <t>%</t>
  </si>
  <si>
    <t>Control Device</t>
  </si>
  <si>
    <t>Baghouse</t>
  </si>
  <si>
    <t>Fugitive</t>
  </si>
  <si>
    <t>Title V Permit Renewal</t>
  </si>
  <si>
    <t>Unit ID</t>
  </si>
  <si>
    <t>Operating Hours</t>
  </si>
  <si>
    <t>hours/year</t>
  </si>
  <si>
    <t>---</t>
  </si>
  <si>
    <t>Production Data</t>
  </si>
  <si>
    <t>Source Description</t>
  </si>
  <si>
    <t>MMBtu/yr</t>
  </si>
  <si>
    <t>Emission Unit</t>
  </si>
  <si>
    <t>Hours of Operation</t>
  </si>
  <si>
    <t>None</t>
  </si>
  <si>
    <t>Fuel Type</t>
  </si>
  <si>
    <t>Natural Gas</t>
  </si>
  <si>
    <t>Btu/scf</t>
  </si>
  <si>
    <t>MMscf/yr</t>
  </si>
  <si>
    <t>Pollutant</t>
  </si>
  <si>
    <t>Potential Emissions
(tpy)</t>
  </si>
  <si>
    <t>Emission Factor</t>
  </si>
  <si>
    <t>Emission Factor Units</t>
  </si>
  <si>
    <t>Emission Factor Source</t>
  </si>
  <si>
    <t>Criteria Pollutants:</t>
  </si>
  <si>
    <t>Particulate Matter (PM)</t>
  </si>
  <si>
    <t>lb/MMscf</t>
  </si>
  <si>
    <t>Carbon Monoxide (CO)</t>
  </si>
  <si>
    <t>Hazardous Air Pollutants:</t>
  </si>
  <si>
    <t>Organics</t>
  </si>
  <si>
    <t>Benzene</t>
  </si>
  <si>
    <t>Greenhouse Gas Pollutants:</t>
  </si>
  <si>
    <t>lb/MMBtu</t>
  </si>
  <si>
    <t>-</t>
  </si>
  <si>
    <t>40 CFR 98, Subpart A, Table A-1</t>
  </si>
  <si>
    <t>Blast Furnace Gas</t>
  </si>
  <si>
    <t>Fuel Characteristics</t>
  </si>
  <si>
    <t>Parameter</t>
  </si>
  <si>
    <t>Source</t>
  </si>
  <si>
    <t>Value</t>
  </si>
  <si>
    <t>Units</t>
  </si>
  <si>
    <t>Diesel</t>
  </si>
  <si>
    <t>Heating Value</t>
  </si>
  <si>
    <t>Emission Unit ID</t>
  </si>
  <si>
    <t>Annual Blast Furnace Gas Usage</t>
  </si>
  <si>
    <t>Average Heating Value of BFG</t>
  </si>
  <si>
    <t xml:space="preserve">Hours of Operation </t>
  </si>
  <si>
    <t xml:space="preserve">hrs/yr </t>
  </si>
  <si>
    <t xml:space="preserve">Control Device </t>
  </si>
  <si>
    <t xml:space="preserve">Nitrogen Oxides (NOx) </t>
  </si>
  <si>
    <t>Control Efficiency</t>
  </si>
  <si>
    <t>PM</t>
  </si>
  <si>
    <t>Volatile Organic Compounds (VOC)</t>
  </si>
  <si>
    <t>2-Methylnaphthalene</t>
  </si>
  <si>
    <t>3-Methylchloranthrene</t>
  </si>
  <si>
    <t>7,12-Dimethylbenz(a)anthracene</t>
  </si>
  <si>
    <t>Anthracene</t>
  </si>
  <si>
    <t>Benz(a)anthracene</t>
  </si>
  <si>
    <t>Benzo(a)pyrene</t>
  </si>
  <si>
    <t>Benzo(b)fluoranthene</t>
  </si>
  <si>
    <t>Benzo(g,h,i)perylene</t>
  </si>
  <si>
    <t>Benzo(k)fluoranthene</t>
  </si>
  <si>
    <t>Chrysene</t>
  </si>
  <si>
    <t>Dibenzo(a,h)anthracene</t>
  </si>
  <si>
    <t>Dichlorobenzene</t>
  </si>
  <si>
    <t>Fluoranthene</t>
  </si>
  <si>
    <t>Fluorene</t>
  </si>
  <si>
    <t>n-Hexane</t>
  </si>
  <si>
    <t>Indeno(1,2,3-c,d)pyrene</t>
  </si>
  <si>
    <t>Naphthalene</t>
  </si>
  <si>
    <t>Phenanthrene</t>
  </si>
  <si>
    <t>Pyrene</t>
  </si>
  <si>
    <t>Toluene</t>
  </si>
  <si>
    <t>Metal HAPs</t>
  </si>
  <si>
    <t>Arsenic</t>
  </si>
  <si>
    <t>Beryllium</t>
  </si>
  <si>
    <t>Chromium</t>
  </si>
  <si>
    <t>Cobalt</t>
  </si>
  <si>
    <t>Lead</t>
  </si>
  <si>
    <t>Mercury</t>
  </si>
  <si>
    <t>Selenium</t>
  </si>
  <si>
    <t>40 CFR 98, Subpart C, Table C-2 for Natural Gas</t>
  </si>
  <si>
    <t>Maximum Throughput</t>
  </si>
  <si>
    <t>lb/ton</t>
  </si>
  <si>
    <t>Potential Emissions
(lb/hr)</t>
  </si>
  <si>
    <t>tons of steel produced</t>
  </si>
  <si>
    <t>Assume 100% of PM</t>
  </si>
  <si>
    <t>MMBtu/hr</t>
  </si>
  <si>
    <t>VOC</t>
  </si>
  <si>
    <t>tons of steel charged</t>
  </si>
  <si>
    <t>40 CFR 98, Subpart C, Table C-2 for Blast Furnace Gas</t>
  </si>
  <si>
    <t>gal/yr</t>
  </si>
  <si>
    <t>Ethylbenzene</t>
  </si>
  <si>
    <t>Formaldehyde</t>
  </si>
  <si>
    <t>Xylenes</t>
  </si>
  <si>
    <t>Acenaphthene</t>
  </si>
  <si>
    <t>Acenaphthylene</t>
  </si>
  <si>
    <t xml:space="preserve">Carbon Monoxide (CO) </t>
  </si>
  <si>
    <t>Vacuum Degasser Flare - Natural Gas Combustion</t>
  </si>
  <si>
    <t>lb/gal</t>
  </si>
  <si>
    <t>Pollutants</t>
  </si>
  <si>
    <t>CO</t>
  </si>
  <si>
    <t>lb/hr</t>
  </si>
  <si>
    <t>tpy</t>
  </si>
  <si>
    <t>Potential Emissions</t>
  </si>
  <si>
    <t>acfm</t>
  </si>
  <si>
    <t>Btu/gal</t>
  </si>
  <si>
    <t>Constants</t>
  </si>
  <si>
    <t>Constituent</t>
  </si>
  <si>
    <t>C</t>
  </si>
  <si>
    <t>No. 6 Fuel Oil</t>
  </si>
  <si>
    <t>AP-42 Appendix A</t>
  </si>
  <si>
    <t>Notes:</t>
  </si>
  <si>
    <t>AP-42 Table 1.4-2, July 1998</t>
  </si>
  <si>
    <t>AP-42 Table 1.4-4, July 1998</t>
  </si>
  <si>
    <t>AP-42 Table 1.4-3, July 1998</t>
  </si>
  <si>
    <t>AP-42 Table 1.4-1, July 1998</t>
  </si>
  <si>
    <t>Molecular Weight (kg/kg-mol)</t>
  </si>
  <si>
    <t>AP-42 Chpater 13.2.4. (November 2006), Equation 1</t>
  </si>
  <si>
    <t>mph</t>
  </si>
  <si>
    <t>tons of slag produced</t>
  </si>
  <si>
    <t>SO2</t>
  </si>
  <si>
    <t>lb/ton slag</t>
  </si>
  <si>
    <t>AP-42 Chapter 13.2.4, Aerodynamic particle size multiplier for particles &lt; 30 µm in diamater</t>
  </si>
  <si>
    <t>AP-42 Chapter 13.2.4, Aerodynamic particle size multiplier for particles &lt; 10 µm in diamater</t>
  </si>
  <si>
    <t>AP-42 Chapter 13.2.4, Aerodynamic particle size multiplier for particles &lt; 2.5 µm in diamater</t>
  </si>
  <si>
    <t>Emission 
Factor</t>
  </si>
  <si>
    <t>Potential 
Emissions
(lb/hr)</t>
  </si>
  <si>
    <t>Potential 
Emissions
(tpy)</t>
  </si>
  <si>
    <t>AP-42 Table 1.4-2 (filterable),  July 1998</t>
  </si>
  <si>
    <t>Emission 
Factor Units</t>
  </si>
  <si>
    <t>tons</t>
  </si>
  <si>
    <t>lbs</t>
  </si>
  <si>
    <r>
      <t>Particulate Matter &lt;10 microns (PM</t>
    </r>
    <r>
      <rPr>
        <vertAlign val="subscript"/>
        <sz val="10"/>
        <rFont val="Tahoma"/>
        <family val="2"/>
      </rPr>
      <t>10</t>
    </r>
    <r>
      <rPr>
        <sz val="10"/>
        <rFont val="Tahoma"/>
        <family val="2"/>
      </rPr>
      <t>)</t>
    </r>
  </si>
  <si>
    <r>
      <t>Particulate Matter &lt; 2.5 microns (PM</t>
    </r>
    <r>
      <rPr>
        <vertAlign val="subscript"/>
        <sz val="10"/>
        <rFont val="Tahoma"/>
        <family val="2"/>
      </rPr>
      <t>2.5</t>
    </r>
    <r>
      <rPr>
        <sz val="10"/>
        <rFont val="Tahoma"/>
        <family val="2"/>
      </rPr>
      <t>)</t>
    </r>
  </si>
  <si>
    <r>
      <t>Nitrogen Oxides (NO</t>
    </r>
    <r>
      <rPr>
        <vertAlign val="subscript"/>
        <sz val="10"/>
        <rFont val="Tahoma"/>
        <family val="2"/>
      </rPr>
      <t>X</t>
    </r>
    <r>
      <rPr>
        <sz val="10"/>
        <rFont val="Tahoma"/>
        <family val="2"/>
      </rPr>
      <t>)</t>
    </r>
  </si>
  <si>
    <r>
      <t>Sulfur Dioxide (SO</t>
    </r>
    <r>
      <rPr>
        <vertAlign val="subscript"/>
        <sz val="10"/>
        <rFont val="Tahoma"/>
        <family val="2"/>
      </rPr>
      <t>2</t>
    </r>
    <r>
      <rPr>
        <sz val="10"/>
        <rFont val="Tahoma"/>
        <family val="2"/>
      </rPr>
      <t>)</t>
    </r>
  </si>
  <si>
    <r>
      <t>Carbon Dioxide (CO</t>
    </r>
    <r>
      <rPr>
        <vertAlign val="subscript"/>
        <sz val="10"/>
        <rFont val="Tahoma"/>
        <family val="2"/>
      </rPr>
      <t>2</t>
    </r>
    <r>
      <rPr>
        <sz val="10"/>
        <rFont val="Tahoma"/>
        <family val="2"/>
      </rPr>
      <t>)</t>
    </r>
  </si>
  <si>
    <r>
      <t>Methane (CH</t>
    </r>
    <r>
      <rPr>
        <vertAlign val="subscript"/>
        <sz val="10"/>
        <rFont val="Tahoma"/>
        <family val="2"/>
      </rPr>
      <t>4</t>
    </r>
    <r>
      <rPr>
        <sz val="10"/>
        <rFont val="Tahoma"/>
        <family val="2"/>
      </rPr>
      <t>)</t>
    </r>
  </si>
  <si>
    <r>
      <t>Nitrous Oxides (N</t>
    </r>
    <r>
      <rPr>
        <vertAlign val="subscript"/>
        <sz val="10"/>
        <rFont val="Tahoma"/>
        <family val="2"/>
      </rPr>
      <t>2</t>
    </r>
    <r>
      <rPr>
        <sz val="10"/>
        <rFont val="Tahoma"/>
        <family val="2"/>
      </rPr>
      <t>O)</t>
    </r>
  </si>
  <si>
    <r>
      <t>Carbon Dioxide Equivalent (CO</t>
    </r>
    <r>
      <rPr>
        <vertAlign val="subscript"/>
        <sz val="10"/>
        <rFont val="Tahoma"/>
        <family val="2"/>
      </rPr>
      <t>2</t>
    </r>
    <r>
      <rPr>
        <sz val="10"/>
        <rFont val="Tahoma"/>
        <family val="2"/>
      </rPr>
      <t>e)</t>
    </r>
  </si>
  <si>
    <r>
      <t>PM</t>
    </r>
    <r>
      <rPr>
        <vertAlign val="subscript"/>
        <sz val="10"/>
        <color theme="1"/>
        <rFont val="Tahoma"/>
        <family val="2"/>
      </rPr>
      <t>10</t>
    </r>
  </si>
  <si>
    <r>
      <t>PM</t>
    </r>
    <r>
      <rPr>
        <vertAlign val="subscript"/>
        <sz val="10"/>
        <color theme="1"/>
        <rFont val="Tahoma"/>
        <family val="2"/>
      </rPr>
      <t>2.5</t>
    </r>
  </si>
  <si>
    <r>
      <t>NO</t>
    </r>
    <r>
      <rPr>
        <vertAlign val="subscript"/>
        <sz val="10"/>
        <color theme="1"/>
        <rFont val="Tahoma"/>
        <family val="2"/>
      </rPr>
      <t>X</t>
    </r>
  </si>
  <si>
    <r>
      <t>SO</t>
    </r>
    <r>
      <rPr>
        <vertAlign val="subscript"/>
        <sz val="10"/>
        <color theme="1"/>
        <rFont val="Tahoma"/>
        <family val="2"/>
      </rPr>
      <t>2</t>
    </r>
  </si>
  <si>
    <r>
      <t>GHGs (CO</t>
    </r>
    <r>
      <rPr>
        <vertAlign val="subscript"/>
        <sz val="10"/>
        <color theme="1"/>
        <rFont val="Tahoma"/>
        <family val="2"/>
      </rPr>
      <t>2</t>
    </r>
    <r>
      <rPr>
        <sz val="10"/>
        <color theme="1"/>
        <rFont val="Tahoma"/>
        <family val="2"/>
      </rPr>
      <t>e)</t>
    </r>
  </si>
  <si>
    <r>
      <t>PM</t>
    </r>
    <r>
      <rPr>
        <b/>
        <vertAlign val="subscript"/>
        <sz val="9"/>
        <color theme="1"/>
        <rFont val="Tahoma"/>
        <family val="2"/>
      </rPr>
      <t>10</t>
    </r>
  </si>
  <si>
    <r>
      <t>PM</t>
    </r>
    <r>
      <rPr>
        <b/>
        <vertAlign val="subscript"/>
        <sz val="9"/>
        <color theme="1"/>
        <rFont val="Tahoma"/>
        <family val="2"/>
      </rPr>
      <t>2.5</t>
    </r>
  </si>
  <si>
    <r>
      <t>NO</t>
    </r>
    <r>
      <rPr>
        <b/>
        <vertAlign val="subscript"/>
        <sz val="9"/>
        <color theme="1"/>
        <rFont val="Tahoma"/>
        <family val="2"/>
      </rPr>
      <t>X</t>
    </r>
  </si>
  <si>
    <r>
      <t>GHGs (CO</t>
    </r>
    <r>
      <rPr>
        <b/>
        <vertAlign val="subscript"/>
        <sz val="9"/>
        <color theme="1"/>
        <rFont val="Tahoma"/>
        <family val="2"/>
      </rPr>
      <t>2</t>
    </r>
    <r>
      <rPr>
        <b/>
        <sz val="9"/>
        <color theme="1"/>
        <rFont val="Tahoma"/>
        <family val="2"/>
      </rPr>
      <t>e)</t>
    </r>
  </si>
  <si>
    <r>
      <t>Particulate Matter &lt;2.5 microns (PM</t>
    </r>
    <r>
      <rPr>
        <vertAlign val="subscript"/>
        <sz val="10"/>
        <rFont val="Tahoma"/>
        <family val="2"/>
      </rPr>
      <t>2.5</t>
    </r>
    <r>
      <rPr>
        <sz val="10"/>
        <rFont val="Tahoma"/>
        <family val="2"/>
      </rPr>
      <t>)</t>
    </r>
  </si>
  <si>
    <r>
      <t>Sulfur Dioxide (SO</t>
    </r>
    <r>
      <rPr>
        <vertAlign val="subscript"/>
        <sz val="10"/>
        <rFont val="Tahoma"/>
        <family val="2"/>
      </rPr>
      <t>2</t>
    </r>
    <r>
      <rPr>
        <sz val="10"/>
        <rFont val="Tahoma"/>
        <family val="2"/>
      </rPr>
      <t xml:space="preserve">) </t>
    </r>
  </si>
  <si>
    <r>
      <t>CO</t>
    </r>
    <r>
      <rPr>
        <vertAlign val="subscript"/>
        <sz val="10"/>
        <color theme="1"/>
        <rFont val="Tahoma"/>
        <family val="2"/>
      </rPr>
      <t>2</t>
    </r>
  </si>
  <si>
    <r>
      <t xml:space="preserve">Global Warming Potentials </t>
    </r>
    <r>
      <rPr>
        <b/>
        <vertAlign val="superscript"/>
        <sz val="10"/>
        <color theme="1"/>
        <rFont val="Tahoma"/>
        <family val="2"/>
      </rPr>
      <t>3</t>
    </r>
  </si>
  <si>
    <r>
      <t>CH</t>
    </r>
    <r>
      <rPr>
        <vertAlign val="subscript"/>
        <sz val="10"/>
        <color theme="1"/>
        <rFont val="Tahoma"/>
        <family val="2"/>
      </rPr>
      <t>4</t>
    </r>
  </si>
  <si>
    <r>
      <t>N</t>
    </r>
    <r>
      <rPr>
        <vertAlign val="subscript"/>
        <sz val="10"/>
        <color theme="1"/>
        <rFont val="Tahoma"/>
        <family val="2"/>
      </rPr>
      <t>2</t>
    </r>
    <r>
      <rPr>
        <sz val="10"/>
        <color theme="1"/>
        <rFont val="Tahoma"/>
        <family val="2"/>
      </rPr>
      <t>O</t>
    </r>
  </si>
  <si>
    <r>
      <rPr>
        <vertAlign val="superscript"/>
        <sz val="10"/>
        <color theme="1"/>
        <rFont val="Tahoma"/>
        <family val="2"/>
      </rPr>
      <t>3</t>
    </r>
    <r>
      <rPr>
        <sz val="10"/>
        <color theme="1"/>
        <rFont val="Tahoma"/>
        <family val="2"/>
      </rPr>
      <t xml:space="preserve"> GHGs are calculated in CO</t>
    </r>
    <r>
      <rPr>
        <vertAlign val="subscript"/>
        <sz val="10"/>
        <color theme="1"/>
        <rFont val="Tahoma"/>
        <family val="2"/>
      </rPr>
      <t>2</t>
    </r>
    <r>
      <rPr>
        <sz val="10"/>
        <color theme="1"/>
        <rFont val="Tahoma"/>
        <family val="2"/>
      </rPr>
      <t>e using Global Warming Potentials (GWP) from 40 CFR 98, Subpart A, Table A-1 (74 FR 71904, Nov. 29, 2013) and the following equation:</t>
    </r>
  </si>
  <si>
    <r>
      <t>CO</t>
    </r>
    <r>
      <rPr>
        <vertAlign val="subscript"/>
        <sz val="10"/>
        <color indexed="8"/>
        <rFont val="Tahoma"/>
        <family val="2"/>
      </rPr>
      <t>2</t>
    </r>
    <r>
      <rPr>
        <sz val="10"/>
        <color indexed="8"/>
        <rFont val="Tahoma"/>
        <family val="2"/>
      </rPr>
      <t>e (tpy) = CO</t>
    </r>
    <r>
      <rPr>
        <vertAlign val="subscript"/>
        <sz val="10"/>
        <color indexed="8"/>
        <rFont val="Tahoma"/>
        <family val="2"/>
      </rPr>
      <t>2</t>
    </r>
    <r>
      <rPr>
        <sz val="10"/>
        <color indexed="8"/>
        <rFont val="Tahoma"/>
        <family val="2"/>
      </rPr>
      <t xml:space="preserve"> (tpy) * CO</t>
    </r>
    <r>
      <rPr>
        <vertAlign val="subscript"/>
        <sz val="10"/>
        <color indexed="8"/>
        <rFont val="Tahoma"/>
        <family val="2"/>
      </rPr>
      <t>2</t>
    </r>
    <r>
      <rPr>
        <sz val="10"/>
        <color indexed="8"/>
        <rFont val="Tahoma"/>
        <family val="2"/>
      </rPr>
      <t xml:space="preserve"> GWP (1) + CH</t>
    </r>
    <r>
      <rPr>
        <vertAlign val="subscript"/>
        <sz val="10"/>
        <color indexed="8"/>
        <rFont val="Tahoma"/>
        <family val="2"/>
      </rPr>
      <t>4</t>
    </r>
    <r>
      <rPr>
        <sz val="10"/>
        <color indexed="8"/>
        <rFont val="Tahoma"/>
        <family val="2"/>
      </rPr>
      <t xml:space="preserve"> (tpy) * CH</t>
    </r>
    <r>
      <rPr>
        <vertAlign val="subscript"/>
        <sz val="10"/>
        <color indexed="8"/>
        <rFont val="Tahoma"/>
        <family val="2"/>
      </rPr>
      <t>4</t>
    </r>
    <r>
      <rPr>
        <sz val="10"/>
        <color indexed="8"/>
        <rFont val="Tahoma"/>
        <family val="2"/>
      </rPr>
      <t xml:space="preserve"> GWP (25) + N</t>
    </r>
    <r>
      <rPr>
        <vertAlign val="subscript"/>
        <sz val="10"/>
        <color indexed="8"/>
        <rFont val="Tahoma"/>
        <family val="2"/>
      </rPr>
      <t>2</t>
    </r>
    <r>
      <rPr>
        <sz val="10"/>
        <color indexed="8"/>
        <rFont val="Tahoma"/>
        <family val="2"/>
      </rPr>
      <t>O (tpy) * N</t>
    </r>
    <r>
      <rPr>
        <vertAlign val="subscript"/>
        <sz val="10"/>
        <color indexed="8"/>
        <rFont val="Tahoma"/>
        <family val="2"/>
      </rPr>
      <t>2</t>
    </r>
    <r>
      <rPr>
        <sz val="10"/>
        <color indexed="8"/>
        <rFont val="Tahoma"/>
        <family val="2"/>
      </rPr>
      <t>O GWP (298)</t>
    </r>
  </si>
  <si>
    <t>U. S. Steel Corp.</t>
  </si>
  <si>
    <t>Edgar Thomson Plant</t>
  </si>
  <si>
    <t>Date:</t>
  </si>
  <si>
    <t>P001a</t>
  </si>
  <si>
    <t>Blast Furnace No. 1 Casthouse</t>
  </si>
  <si>
    <t>Casthouse Baghouse</t>
  </si>
  <si>
    <t>Max. Capacity/Rate</t>
  </si>
  <si>
    <t>P001b</t>
  </si>
  <si>
    <t>Blast Furnace No. 1 Stoves</t>
  </si>
  <si>
    <t>P001c</t>
  </si>
  <si>
    <t>BFG Flare</t>
  </si>
  <si>
    <t>N/A</t>
  </si>
  <si>
    <t>MMscf/hr</t>
  </si>
  <si>
    <t>P002a</t>
  </si>
  <si>
    <t>Blast Furnace No. 3 Casthouse</t>
  </si>
  <si>
    <t>P002b</t>
  </si>
  <si>
    <t>Blast Furnace No. 3 Stoves</t>
  </si>
  <si>
    <t>P003</t>
  </si>
  <si>
    <t>Basic Oxygen Process (BOP) Shop</t>
  </si>
  <si>
    <t>Mixer Baghouse, Primary Scrubber, Secondary Baghouse</t>
  </si>
  <si>
    <t>tons/yr steel</t>
  </si>
  <si>
    <t>P004</t>
  </si>
  <si>
    <t>Ladle Metallurgy Facility (LMF)</t>
  </si>
  <si>
    <t>LMF Baghouse</t>
  </si>
  <si>
    <t>P005</t>
  </si>
  <si>
    <t>Dual Strand Caster</t>
  </si>
  <si>
    <t>Dust Collectors</t>
  </si>
  <si>
    <t>P006</t>
  </si>
  <si>
    <t>Vacuum Degasser</t>
  </si>
  <si>
    <t>CO Flare</t>
  </si>
  <si>
    <t>B001</t>
  </si>
  <si>
    <t>Rilery Boiler No. 1</t>
  </si>
  <si>
    <t>B002</t>
  </si>
  <si>
    <t>Rilery Boiler No. 2</t>
  </si>
  <si>
    <t>B003</t>
  </si>
  <si>
    <t>Rilery Boiler No. 3</t>
  </si>
  <si>
    <t>F001</t>
  </si>
  <si>
    <t>Blast Furnace Slag Pits</t>
  </si>
  <si>
    <t>tons/yr slag</t>
  </si>
  <si>
    <t>F002</t>
  </si>
  <si>
    <t>Plant Roads</t>
  </si>
  <si>
    <t>Wet Supression, Chemical Treatment, Paved Road Sweeping</t>
  </si>
  <si>
    <t>WSAC (Mold Water) Cooling Tower</t>
  </si>
  <si>
    <t>WSAC (Blast Furnace Closed Loop) Cooling Tower</t>
  </si>
  <si>
    <t>Blast Furnace Recycling Cooling Tower</t>
  </si>
  <si>
    <t>Drift Eliminator</t>
  </si>
  <si>
    <t>Caster Internal Machine Cooling Tower</t>
  </si>
  <si>
    <t>Degasser Cooling Tower</t>
  </si>
  <si>
    <t>BOP Hood Cooling Tower</t>
  </si>
  <si>
    <t>BOP Gas Cleaning Cooling Tower</t>
  </si>
  <si>
    <t>Caster Spray Water Cooling Tower</t>
  </si>
  <si>
    <t>tons/yr hot metal</t>
  </si>
  <si>
    <t>Table 1. Blast Furnace No. 1 &amp; Casthouse</t>
  </si>
  <si>
    <t>Blast Furnace No. 1 and Casthouse</t>
  </si>
  <si>
    <t>Exhaust Flow Rate</t>
  </si>
  <si>
    <t>Baghouse Outlet Grain Loading</t>
  </si>
  <si>
    <t>Condensable Particulate Matter (CPM)</t>
  </si>
  <si>
    <t>Filterable Particulate Matter (PM)</t>
  </si>
  <si>
    <r>
      <t>Filterable Particulate Matter &lt;10 microns (PM</t>
    </r>
    <r>
      <rPr>
        <vertAlign val="subscript"/>
        <sz val="10"/>
        <rFont val="Tahoma"/>
        <family val="2"/>
      </rPr>
      <t>10</t>
    </r>
    <r>
      <rPr>
        <sz val="10"/>
        <rFont val="Tahoma"/>
        <family val="2"/>
      </rPr>
      <t>)</t>
    </r>
  </si>
  <si>
    <r>
      <t>Filterable Particulate Matter &lt; 2.5 microns (PM</t>
    </r>
    <r>
      <rPr>
        <vertAlign val="subscript"/>
        <sz val="10"/>
        <rFont val="Tahoma"/>
        <family val="2"/>
      </rPr>
      <t>2.5</t>
    </r>
    <r>
      <rPr>
        <sz val="10"/>
        <rFont val="Tahoma"/>
        <family val="2"/>
      </rPr>
      <t>)</t>
    </r>
  </si>
  <si>
    <t>Hot Metal Production Rate</t>
  </si>
  <si>
    <t>Stack Test Data (lb/ton)</t>
  </si>
  <si>
    <t>Site-Specific Stack Testing (Max + 20% Compliance Margin)</t>
  </si>
  <si>
    <t>Antimony Compounds</t>
  </si>
  <si>
    <t>Arsenic Compounds</t>
  </si>
  <si>
    <t>Beryllium Compounds</t>
  </si>
  <si>
    <t>Cadmium Compounds</t>
  </si>
  <si>
    <t>Chromium Compounds</t>
  </si>
  <si>
    <t>Cobalt Compounds</t>
  </si>
  <si>
    <t>Manganese Compounds</t>
  </si>
  <si>
    <t>Mercury Compounds</t>
  </si>
  <si>
    <t>Nickel Compounds</t>
  </si>
  <si>
    <t>Selenium Compounds</t>
  </si>
  <si>
    <t>Phosphorous</t>
  </si>
  <si>
    <t>wt%</t>
  </si>
  <si>
    <t>Blast Furnace Dust Analyses</t>
  </si>
  <si>
    <t>Process Emissions (Casthouse Fugitives)</t>
  </si>
  <si>
    <t>Process Emissions (Casthouse Baghouse)</t>
  </si>
  <si>
    <t>AP-42, Table 12.5-2. PM10 equal to 51% of PM</t>
  </si>
  <si>
    <t>AP-42, Table 12.5-2.  PM2.5 equal to 23% of PM</t>
  </si>
  <si>
    <t>Combustion Emissions (Natural Gas)</t>
  </si>
  <si>
    <t>Natural Gas Combustion</t>
  </si>
  <si>
    <t>Coke Oven Gas Combustion</t>
  </si>
  <si>
    <t>current TV permit</t>
  </si>
  <si>
    <t>2001 TVR Application</t>
  </si>
  <si>
    <t>40 CFR 98, Subpart C, Tble C-1 for Natural Gas</t>
  </si>
  <si>
    <t>Max Heating Value per 2001 TVR Application</t>
  </si>
  <si>
    <t>Coke Oven Gas</t>
  </si>
  <si>
    <t>Combustion Emissions (Coke Oven Gas)</t>
  </si>
  <si>
    <t>AP-42 Table 1.4-2 (condensable),  July 1999</t>
  </si>
  <si>
    <t>Inorganics</t>
  </si>
  <si>
    <t>Chlorine (Cl)</t>
  </si>
  <si>
    <t>Blast Furnace No. 3 and Casthouse</t>
  </si>
  <si>
    <t>WebFIRE 6.25 (1-02-007-07)</t>
  </si>
  <si>
    <t>ACME Steel Staff Correspondence, Sep-1997</t>
  </si>
  <si>
    <t>EPA 450/2-90-011 (Uncontrolled COG Combustion = 1.90% wt of VOC)</t>
  </si>
  <si>
    <t>Hydrochloric Acid (HCl)</t>
  </si>
  <si>
    <r>
      <t>Carbon Disulfide (CS</t>
    </r>
    <r>
      <rPr>
        <vertAlign val="subscript"/>
        <sz val="10"/>
        <rFont val="Tahoma"/>
        <family val="2"/>
      </rPr>
      <t>2</t>
    </r>
    <r>
      <rPr>
        <sz val="10"/>
        <rFont val="Tahoma"/>
        <family val="2"/>
      </rPr>
      <t>)</t>
    </r>
  </si>
  <si>
    <r>
      <t>Ammonia (NH</t>
    </r>
    <r>
      <rPr>
        <vertAlign val="subscript"/>
        <sz val="10"/>
        <rFont val="Tahoma"/>
        <family val="2"/>
      </rPr>
      <t>3</t>
    </r>
    <r>
      <rPr>
        <sz val="10"/>
        <rFont val="Tahoma"/>
        <family val="2"/>
      </rPr>
      <t>)</t>
    </r>
  </si>
  <si>
    <t>Clairton Stack Test (Jun-2000)</t>
  </si>
  <si>
    <r>
      <t>TV Permit Limit of 35 gr H</t>
    </r>
    <r>
      <rPr>
        <vertAlign val="subscript"/>
        <sz val="10"/>
        <rFont val="Tahoma"/>
        <family val="2"/>
      </rPr>
      <t>2</t>
    </r>
    <r>
      <rPr>
        <sz val="10"/>
        <rFont val="Tahoma"/>
        <family val="2"/>
      </rPr>
      <t>S per 100 dscf</t>
    </r>
  </si>
  <si>
    <t>Ammonia</t>
  </si>
  <si>
    <t>WebFIRE 6.25</t>
  </si>
  <si>
    <t>Published Emission Factor "Safety Margin"</t>
  </si>
  <si>
    <t>Table 2. Blast Furnace No. 1 Stoves</t>
  </si>
  <si>
    <t>Blast Furnace Gas Combustion</t>
  </si>
  <si>
    <t>Max. Heat Input Rating</t>
  </si>
  <si>
    <t>Combustion Emissions (Blast Furnace Gas)</t>
  </si>
  <si>
    <t>No Factor</t>
  </si>
  <si>
    <t>40 CFR 98, Subpart C, Tble C-1 for Coke Oven Gas</t>
  </si>
  <si>
    <t>40 CFR 98, Subpart C, Table C-2 for Coke Oven Gas</t>
  </si>
  <si>
    <t>40 CFR 98, Subpart C, Tble C-1 for Blast Furnace Gas</t>
  </si>
  <si>
    <t>Blast Furnace Gas Flare</t>
  </si>
  <si>
    <t>Table 3. BFG Flare</t>
  </si>
  <si>
    <t>AP-42, Table 13.5-1</t>
  </si>
  <si>
    <t>AP-42, Table 13.5-2</t>
  </si>
  <si>
    <t>BFG Capacity</t>
  </si>
  <si>
    <t>3 MMscf/hr per Title V Permit - Table II-1</t>
  </si>
  <si>
    <t>Table 4. Blast Furnace No. 3 &amp; Casthouse</t>
  </si>
  <si>
    <t>Table 5. Blast Furnace No. 3 Stoves</t>
  </si>
  <si>
    <t>Stack ID</t>
  </si>
  <si>
    <t>S002</t>
  </si>
  <si>
    <t>S001</t>
  </si>
  <si>
    <t>S003</t>
  </si>
  <si>
    <t>S004</t>
  </si>
  <si>
    <t>P003-011a &amp; b</t>
  </si>
  <si>
    <t>S005</t>
  </si>
  <si>
    <t>BOP Mixer &amp; Desulfurization Baghouse</t>
  </si>
  <si>
    <t>tons of hot metal transferred</t>
  </si>
  <si>
    <t>P003-1, P003-2, P003-3, P003-4</t>
  </si>
  <si>
    <t>Hot Metal Transfer &amp; Desulfurization at Mixer, Reladling Pit, and Direct Pour Station</t>
  </si>
  <si>
    <t>WebFIRE 6.25 (3-03-009-15)</t>
  </si>
  <si>
    <t>Mixer Baghouse Dust Analyses</t>
  </si>
  <si>
    <t>Table 6. BOP Shop - Hot Metal Transfer &amp; Desulfurization Baghouse</t>
  </si>
  <si>
    <t>Table 7. BOP Shop - Secondary Baghouse</t>
  </si>
  <si>
    <t>Hot Metal Slag Skimming, Vessels F &amp; R Charging, Tapping &amp; Slag Dumping</t>
  </si>
  <si>
    <t>P003-5, P003-6, P003-8</t>
  </si>
  <si>
    <t>BOP Secondary Baghouse</t>
  </si>
  <si>
    <t>TV Permit &amp; 2001 TVR Application</t>
  </si>
  <si>
    <t>S006</t>
  </si>
  <si>
    <t>Table 8. BOP Shop - Venturi Scrubber</t>
  </si>
  <si>
    <t>Vessel F &amp; Vessel R Oxygen Blowing</t>
  </si>
  <si>
    <t>P003-7 &amp; P003-9</t>
  </si>
  <si>
    <t>S007 &amp; S008</t>
  </si>
  <si>
    <t>BOP Venturi Scrubber</t>
  </si>
  <si>
    <t>tons of hot metal</t>
  </si>
  <si>
    <t>Table 9. BOP Shop - Flux Handling</t>
  </si>
  <si>
    <t>BOP Shop flux Material Rail Car Unloading, Transfer Tower, Flux Handling Systems #1 &amp; #2</t>
  </si>
  <si>
    <t>P003-10a, P003-10b, P003-10c, P003-10d</t>
  </si>
  <si>
    <t>BH1, BH2, BH3, BH4</t>
  </si>
  <si>
    <t>tons of flux</t>
  </si>
  <si>
    <t>Assumes 99% control efficiency of baghouse</t>
  </si>
  <si>
    <t>AP-42, Chapter 13.2.4. PM10 multiplier is 0.35.</t>
  </si>
  <si>
    <t>AP-42, Chapter 13.2.4.  PM2.5 multiplier is 0.053.</t>
  </si>
  <si>
    <t>Flux Handling Baghouse Dust Analyses</t>
  </si>
  <si>
    <t>Table 11. Ladle Metallurgy Facility (LMF)</t>
  </si>
  <si>
    <t>S009</t>
  </si>
  <si>
    <t>LMF Flux/Alloy Handling, LMF Vessel, Tripper Car Conveyor System, Lime Bin Feeder System</t>
  </si>
  <si>
    <t>P004-1, P004-2, P004-3, P004-4</t>
  </si>
  <si>
    <t>LMF Baghouse Dust Analyses</t>
  </si>
  <si>
    <t>Table 12. Dual Strand Continuous Caster</t>
  </si>
  <si>
    <t>(exhausts inside caster building)</t>
  </si>
  <si>
    <t>Table 13. Vacuum Degasser</t>
  </si>
  <si>
    <t>S011</t>
  </si>
  <si>
    <t>Max. Heats Per Year</t>
  </si>
  <si>
    <t>(assumes 240 tons/heat)</t>
  </si>
  <si>
    <t>Manufacturer's Data (0.13 lb/heat from process + 0.115 lb/heat from KTB lance)</t>
  </si>
  <si>
    <t>lb/heat</t>
  </si>
  <si>
    <t>Steel Processed Per Year</t>
  </si>
  <si>
    <t>Assumes 60% conversion of carbon to CO &amp; 99% control efficiency for flare</t>
  </si>
  <si>
    <t>78.4% annual capacity factor, per TV permit</t>
  </si>
  <si>
    <t>Table 14. Riley Boilers</t>
  </si>
  <si>
    <t>Riley Boiler No. 1, No. 2, No. 3</t>
  </si>
  <si>
    <t>B001, B002, B003</t>
  </si>
  <si>
    <t>S012, S013, S014</t>
  </si>
  <si>
    <t>each</t>
  </si>
  <si>
    <t>total</t>
  </si>
  <si>
    <t>Max Sulfur Content</t>
  </si>
  <si>
    <t>AP-42 Ch. 1.3</t>
  </si>
  <si>
    <t>Table 15. Blast Furnace Slag Pits</t>
  </si>
  <si>
    <t>Blast Furnace No.1 &amp; No. 3 Slag Pits</t>
  </si>
  <si>
    <t xml:space="preserve">TV permit </t>
  </si>
  <si>
    <t>Transferring from Slag Pit to Trucks</t>
  </si>
  <si>
    <t>K Factor (Particle Size Multiplier)</t>
  </si>
  <si>
    <t>Mean wind speed</t>
  </si>
  <si>
    <t>Moisture Content</t>
  </si>
  <si>
    <t>Blast Furnace Slag Analyses</t>
  </si>
  <si>
    <t>Table 16. Plant Roadways</t>
  </si>
  <si>
    <t>Wet Suppression, Chemical Treatment, Paved Road Sweeping</t>
  </si>
  <si>
    <t>Paved Roads</t>
  </si>
  <si>
    <t>Road</t>
  </si>
  <si>
    <t>Uncontrolled</t>
  </si>
  <si>
    <t>Control</t>
  </si>
  <si>
    <t>Controlled</t>
  </si>
  <si>
    <t>Traffic</t>
  </si>
  <si>
    <t>Emissions</t>
  </si>
  <si>
    <t>Efficiency</t>
  </si>
  <si>
    <t>Vehicle Type</t>
  </si>
  <si>
    <t>k</t>
  </si>
  <si>
    <t>sL</t>
  </si>
  <si>
    <t>W</t>
  </si>
  <si>
    <t>E</t>
  </si>
  <si>
    <t>(VMT/yr)</t>
  </si>
  <si>
    <t>(lb/yr)</t>
  </si>
  <si>
    <t>(ton/yr)</t>
  </si>
  <si>
    <t>(%)</t>
  </si>
  <si>
    <t>(lb/VMT)</t>
  </si>
  <si>
    <t>Slagaway Haulers (Loaded)</t>
  </si>
  <si>
    <t>Slagaway Haulers (Unloaded)</t>
  </si>
  <si>
    <t>Euclid Trucks</t>
  </si>
  <si>
    <t>Broker Triaxles</t>
  </si>
  <si>
    <t>Broker Tractor Trailers</t>
  </si>
  <si>
    <t>Komatsu Road Grader</t>
  </si>
  <si>
    <t>CAT 992C Loader</t>
  </si>
  <si>
    <t>CAT 988B Loader</t>
  </si>
  <si>
    <t>CAT 980C Loader</t>
  </si>
  <si>
    <t>John Deere Backhoe</t>
  </si>
  <si>
    <t>CAT Water Wagon</t>
  </si>
  <si>
    <t>CJL Triaxles (Loaded)</t>
  </si>
  <si>
    <t>CJL Triaxles (Unloaded)</t>
  </si>
  <si>
    <t>Unpaved Roads</t>
  </si>
  <si>
    <t>s</t>
  </si>
  <si>
    <t>a</t>
  </si>
  <si>
    <t>b</t>
  </si>
  <si>
    <t>Kress Carriers (Loaded)</t>
  </si>
  <si>
    <t>Kress Carriers (Unloaded)</t>
  </si>
  <si>
    <t>For paved roads, emission estimation equation is from AP-42, Fifth Edition, Section 13.2.1 (January 2011) for industrial paved roads.</t>
  </si>
  <si>
    <t>E = particulate emission factor (lb/VMT)</t>
  </si>
  <si>
    <t>k = base emission factor for particle size range and units of interest.  From Table 13.2.1-1, the base</t>
  </si>
  <si>
    <t xml:space="preserve">       emission factors are 0.011 lb/VMT (TSP), 0.0022 lb/VMT (PM10), and 0.00054 lb VMT for PM2.5.</t>
  </si>
  <si>
    <t>W = average weight (tons) of the vehicles traveling the road</t>
  </si>
  <si>
    <t>For unpaved roads, emission estimation equation is from AP-42, Fifth Edition, Section 13.2.2 for industrial unpaved roads (November 2006).</t>
  </si>
  <si>
    <t>k, a, b = empirical constants from Table 13.2.2-2</t>
  </si>
  <si>
    <t>s = silt content of road surface material (%)</t>
  </si>
  <si>
    <t>W = mean vehicle weight (ton)</t>
  </si>
  <si>
    <r>
      <t>E = k (sL)</t>
    </r>
    <r>
      <rPr>
        <vertAlign val="superscript"/>
        <sz val="10"/>
        <rFont val="Tahoma"/>
        <family val="2"/>
      </rPr>
      <t>0.91</t>
    </r>
    <r>
      <rPr>
        <sz val="10"/>
        <rFont val="Tahoma"/>
        <family val="2"/>
      </rPr>
      <t xml:space="preserve"> (W)</t>
    </r>
    <r>
      <rPr>
        <vertAlign val="superscript"/>
        <sz val="10"/>
        <rFont val="Tahoma"/>
        <family val="2"/>
      </rPr>
      <t>1.02</t>
    </r>
    <r>
      <rPr>
        <sz val="10"/>
        <rFont val="Tahoma"/>
        <family val="2"/>
      </rPr>
      <t>, where:</t>
    </r>
  </si>
  <si>
    <r>
      <t>sL = road surface silt loading (g/m</t>
    </r>
    <r>
      <rPr>
        <vertAlign val="superscript"/>
        <sz val="10"/>
        <rFont val="Tahoma"/>
        <family val="2"/>
      </rPr>
      <t>2</t>
    </r>
    <r>
      <rPr>
        <sz val="10"/>
        <rFont val="Tahoma"/>
        <family val="2"/>
      </rPr>
      <t>), value obtained from AP-42 Background Information Document.</t>
    </r>
  </si>
  <si>
    <r>
      <t>E = k (s/12)</t>
    </r>
    <r>
      <rPr>
        <vertAlign val="superscript"/>
        <sz val="10"/>
        <rFont val="Tahoma"/>
        <family val="2"/>
      </rPr>
      <t>a</t>
    </r>
    <r>
      <rPr>
        <sz val="10"/>
        <rFont val="Tahoma"/>
        <family val="2"/>
      </rPr>
      <t xml:space="preserve"> (W/3)</t>
    </r>
    <r>
      <rPr>
        <vertAlign val="superscript"/>
        <sz val="10"/>
        <rFont val="Tahoma"/>
        <family val="2"/>
      </rPr>
      <t>b</t>
    </r>
    <r>
      <rPr>
        <sz val="10"/>
        <rFont val="Tahoma"/>
        <family val="2"/>
      </rPr>
      <t>, where:</t>
    </r>
  </si>
  <si>
    <t>Paved Roads - TSP</t>
  </si>
  <si>
    <t>VMT from 2018 EI</t>
  </si>
  <si>
    <t>Production (2018)</t>
  </si>
  <si>
    <t>tons steel</t>
  </si>
  <si>
    <t>Total - Paved TSP</t>
  </si>
  <si>
    <r>
      <t>Paved Roads - PM</t>
    </r>
    <r>
      <rPr>
        <b/>
        <vertAlign val="subscript"/>
        <sz val="10"/>
        <color rgb="FFFF0000"/>
        <rFont val="Tahoma"/>
        <family val="2"/>
      </rPr>
      <t>10</t>
    </r>
  </si>
  <si>
    <t>Total - Paved PM10</t>
  </si>
  <si>
    <r>
      <t>Paved Roads - PM</t>
    </r>
    <r>
      <rPr>
        <b/>
        <vertAlign val="subscript"/>
        <sz val="10"/>
        <color rgb="FFFF0000"/>
        <rFont val="Tahoma"/>
        <family val="2"/>
      </rPr>
      <t>2.5</t>
    </r>
  </si>
  <si>
    <t>Total - Paved PM2.5</t>
  </si>
  <si>
    <t>Unpaved Roads - TSP</t>
  </si>
  <si>
    <t>Total - Unpaved TSP</t>
  </si>
  <si>
    <t>Total - Unpaved PM10</t>
  </si>
  <si>
    <r>
      <t>Unpaved Roads - PM</t>
    </r>
    <r>
      <rPr>
        <b/>
        <vertAlign val="subscript"/>
        <sz val="10"/>
        <color rgb="FFFF0000"/>
        <rFont val="Tahoma"/>
        <family val="2"/>
      </rPr>
      <t>10</t>
    </r>
  </si>
  <si>
    <r>
      <t>Unpaved Roads - PM</t>
    </r>
    <r>
      <rPr>
        <b/>
        <vertAlign val="subscript"/>
        <sz val="10"/>
        <color rgb="FFFF0000"/>
        <rFont val="Tahoma"/>
        <family val="2"/>
      </rPr>
      <t>2.5</t>
    </r>
  </si>
  <si>
    <t>Total - Unpaved PM2.5</t>
  </si>
  <si>
    <t>Table 10. BOP Shop Combustion</t>
  </si>
  <si>
    <t>Basic Oxygen Process (BOP) Shop Combustion</t>
  </si>
  <si>
    <r>
      <t>PM</t>
    </r>
    <r>
      <rPr>
        <b/>
        <vertAlign val="subscript"/>
        <sz val="9"/>
        <color theme="1"/>
        <rFont val="Tahoma"/>
        <family val="2"/>
      </rPr>
      <t>CON</t>
    </r>
  </si>
  <si>
    <t>Total HAP</t>
  </si>
  <si>
    <t>BOP Shop</t>
  </si>
  <si>
    <t>Riley Boilers No. 1-3</t>
  </si>
  <si>
    <t>B001 - B003</t>
  </si>
  <si>
    <t>Continuous Caster - Combustion</t>
  </si>
  <si>
    <t>Mixer Baghouse (P003-1,2,3,4)</t>
  </si>
  <si>
    <t>Secondary Baghouse (P003-5,6,8)</t>
  </si>
  <si>
    <t>Scrubber (P003-7,9)</t>
  </si>
  <si>
    <t>Flux Handling (P003-10)</t>
  </si>
  <si>
    <t>COG Combustion (P003-11a)</t>
  </si>
  <si>
    <t>NG Combustion (P003-11b)</t>
  </si>
  <si>
    <t>BOP Filtercake &amp; Classifier Sludge Analyses</t>
  </si>
  <si>
    <t>AP-42, Table 12.5-2. PM10 equal to 45% of PM</t>
  </si>
  <si>
    <t>Iron Slag Skimming After Desulf</t>
  </si>
  <si>
    <t>Furnace Charging</t>
  </si>
  <si>
    <t>Furnace Tapping</t>
  </si>
  <si>
    <t>Steel Slag Dumpting</t>
  </si>
  <si>
    <t>Slag Skimming Before BOP &amp; Tapping/Dumping</t>
  </si>
  <si>
    <t>Maximum Throughput (BOP Vessel)</t>
  </si>
  <si>
    <t>Maximum Throughput (Slag)</t>
  </si>
  <si>
    <t>tons of BOP slag</t>
  </si>
  <si>
    <t>lb/ton metal</t>
  </si>
  <si>
    <t>WebFIRE 6.25 (3-03-009-16)</t>
  </si>
  <si>
    <t>WebFIRE 6.25 (3-03-009-17)</t>
  </si>
  <si>
    <t>WebFIRE 6.25 (3-03-009-23)</t>
  </si>
  <si>
    <t>BOP Secondary Baghouse Dust Analyses</t>
  </si>
  <si>
    <t>BOP Shop Flux Handling - Lime</t>
  </si>
  <si>
    <t>tons of lime</t>
  </si>
  <si>
    <t>2018 usage =</t>
  </si>
  <si>
    <t>tons lime</t>
  </si>
  <si>
    <t>2018 production =</t>
  </si>
  <si>
    <t>Max production =</t>
  </si>
  <si>
    <t>Partial Enclosure</t>
  </si>
  <si>
    <t>Iron Slag Skimming Before BOP</t>
  </si>
  <si>
    <t>tons of slag</t>
  </si>
  <si>
    <t>AP-42 Ch. 13.2.4. (November 2006), Equation 1</t>
  </si>
  <si>
    <t>AP-42 Table 12.5-2</t>
  </si>
  <si>
    <t>AP-42, Table 12.5-2.  PM2.5 equal to 22% of PM</t>
  </si>
  <si>
    <t>Tapping/Vessel Residual Slag Dump</t>
  </si>
  <si>
    <t>tons of steel</t>
  </si>
  <si>
    <t>Methanol Usage</t>
  </si>
  <si>
    <t>Maximum Usage</t>
  </si>
  <si>
    <t>Pot Coat Winter Grade</t>
  </si>
  <si>
    <t>Methanol Content</t>
  </si>
  <si>
    <t>% wt.</t>
  </si>
  <si>
    <t>2018 Usage =</t>
  </si>
  <si>
    <t>Methanol</t>
  </si>
  <si>
    <t>% loss</t>
  </si>
  <si>
    <t>Conservative Assumption</t>
  </si>
  <si>
    <t>Table 17. Cooling Towers</t>
  </si>
  <si>
    <t>Cooling Towers</t>
  </si>
  <si>
    <t>Cooling Tower</t>
  </si>
  <si>
    <t>Water Circulation Rate</t>
  </si>
  <si>
    <t>(gal/hr)</t>
  </si>
  <si>
    <t>(lb/hr)</t>
  </si>
  <si>
    <t>Drift</t>
  </si>
  <si>
    <t>Rate</t>
  </si>
  <si>
    <t>TDS</t>
  </si>
  <si>
    <t>(ppmw)</t>
  </si>
  <si>
    <t>WSAC (Mold Water)</t>
  </si>
  <si>
    <t>Caster Internal Machine</t>
  </si>
  <si>
    <t>Caster Spray Water</t>
  </si>
  <si>
    <t>Degasser</t>
  </si>
  <si>
    <t>BOP Open Hood Tower</t>
  </si>
  <si>
    <t>BOP Gas Cooling Tower</t>
  </si>
  <si>
    <t>BFCE Recycle</t>
  </si>
  <si>
    <t>(gpm)</t>
  </si>
  <si>
    <t>(tpy)</t>
  </si>
  <si>
    <r>
      <t>PM</t>
    </r>
    <r>
      <rPr>
        <b/>
        <vertAlign val="subscript"/>
        <sz val="10"/>
        <color theme="1"/>
        <rFont val="Tahoma"/>
        <family val="2"/>
      </rPr>
      <t>10</t>
    </r>
  </si>
  <si>
    <r>
      <t>PM</t>
    </r>
    <r>
      <rPr>
        <b/>
        <vertAlign val="subscript"/>
        <sz val="10"/>
        <color theme="1"/>
        <rFont val="Tahoma"/>
        <family val="2"/>
      </rPr>
      <t>2.5</t>
    </r>
  </si>
  <si>
    <t>TOTAL</t>
  </si>
  <si>
    <t>Calculations</t>
  </si>
  <si>
    <t>Cooling Tower Particulate Emissions Size Distribution 
(based on paper by Reisman and Frisbie, "Calculating Realistic PM10 Emissions from Cooling Tower")</t>
  </si>
  <si>
    <t>[Eq. 1]</t>
  </si>
  <si>
    <t>[Eq. 2]</t>
  </si>
  <si>
    <t>[Eq. 3]</t>
  </si>
  <si>
    <t>[Eq. 4]</t>
  </si>
  <si>
    <t>where:</t>
  </si>
  <si>
    <t>TDS = total dissolved solids content (ppmw)</t>
  </si>
  <si>
    <t xml:space="preserve">Size Distribution for Cooling Tower Particulate Emissions </t>
  </si>
  <si>
    <t>EPRI Droplet</t>
  </si>
  <si>
    <t>Droplet</t>
  </si>
  <si>
    <t>Particle Mass</t>
  </si>
  <si>
    <t>Solid Particle</t>
  </si>
  <si>
    <t>EPRI % Mass</t>
  </si>
  <si>
    <t>(µm)</t>
  </si>
  <si>
    <t>(µg )</t>
  </si>
  <si>
    <t>(µm )</t>
  </si>
  <si>
    <t>Particulate Emission Rates</t>
  </si>
  <si>
    <t>PM Emission Rate (lb/hr) = Water Circulation Rate (lb/hr) x Drift x TDS / 1,000,000</t>
  </si>
  <si>
    <t xml:space="preserve">Annual Emission Rates (tons/yr) = Short-term Emission Rates (lbs/hr) x 8,760 hours/year / 2,000 lbs per ton </t>
  </si>
  <si>
    <r>
      <t>Volume of drift droplet = (4/3)π(D</t>
    </r>
    <r>
      <rPr>
        <vertAlign val="subscript"/>
        <sz val="10"/>
        <rFont val="Tahoma"/>
        <family val="2"/>
      </rPr>
      <t>d</t>
    </r>
    <r>
      <rPr>
        <sz val="10"/>
        <rFont val="Tahoma"/>
        <family val="2"/>
      </rPr>
      <t>/2)</t>
    </r>
    <r>
      <rPr>
        <vertAlign val="superscript"/>
        <sz val="10"/>
        <rFont val="Tahoma"/>
        <family val="2"/>
      </rPr>
      <t>3</t>
    </r>
  </si>
  <si>
    <r>
      <t>Mass of solids in drift droplet = (TDS)(ρ</t>
    </r>
    <r>
      <rPr>
        <vertAlign val="subscript"/>
        <sz val="10"/>
        <rFont val="Tahoma"/>
        <family val="2"/>
      </rPr>
      <t>w</t>
    </r>
    <r>
      <rPr>
        <sz val="10"/>
        <rFont val="Tahoma"/>
        <family val="2"/>
      </rPr>
      <t>)(Volume of drift droplet)</t>
    </r>
  </si>
  <si>
    <r>
      <t>Solid particle volume = (Particle mass of solids) / (ρ</t>
    </r>
    <r>
      <rPr>
        <vertAlign val="subscript"/>
        <sz val="10"/>
        <rFont val="Tahoma"/>
        <family val="2"/>
      </rPr>
      <t>TDS</t>
    </r>
    <r>
      <rPr>
        <sz val="10"/>
        <rFont val="Tahoma"/>
        <family val="2"/>
      </rPr>
      <t>)</t>
    </r>
  </si>
  <si>
    <r>
      <t>D</t>
    </r>
    <r>
      <rPr>
        <vertAlign val="subscript"/>
        <sz val="10"/>
        <rFont val="Tahoma"/>
        <family val="2"/>
      </rPr>
      <t>p</t>
    </r>
    <r>
      <rPr>
        <sz val="10"/>
        <rFont val="Tahoma"/>
        <family val="2"/>
      </rPr>
      <t xml:space="preserve"> = D</t>
    </r>
    <r>
      <rPr>
        <vertAlign val="subscript"/>
        <sz val="10"/>
        <rFont val="Tahoma"/>
        <family val="2"/>
      </rPr>
      <t>d</t>
    </r>
    <r>
      <rPr>
        <sz val="10"/>
        <rFont val="Tahoma"/>
        <family val="2"/>
      </rPr>
      <t xml:space="preserve"> [(TDS)(ρ</t>
    </r>
    <r>
      <rPr>
        <vertAlign val="subscript"/>
        <sz val="10"/>
        <rFont val="Tahoma"/>
        <family val="2"/>
      </rPr>
      <t>w</t>
    </r>
    <r>
      <rPr>
        <sz val="10"/>
        <rFont val="Tahoma"/>
        <family val="2"/>
      </rPr>
      <t>/ρ</t>
    </r>
    <r>
      <rPr>
        <vertAlign val="subscript"/>
        <sz val="10"/>
        <rFont val="Tahoma"/>
        <family val="2"/>
      </rPr>
      <t>TDS</t>
    </r>
    <r>
      <rPr>
        <sz val="10"/>
        <rFont val="Tahoma"/>
        <family val="2"/>
      </rPr>
      <t>)]</t>
    </r>
    <r>
      <rPr>
        <vertAlign val="superscript"/>
        <sz val="10"/>
        <rFont val="Tahoma"/>
        <family val="2"/>
      </rPr>
      <t>1/3</t>
    </r>
  </si>
  <si>
    <r>
      <t>D</t>
    </r>
    <r>
      <rPr>
        <vertAlign val="subscript"/>
        <sz val="10"/>
        <rFont val="Tahoma"/>
        <family val="2"/>
      </rPr>
      <t xml:space="preserve">p </t>
    </r>
    <r>
      <rPr>
        <sz val="10"/>
        <rFont val="Tahoma"/>
        <family val="2"/>
      </rPr>
      <t>= diameter of solid particle (μm)</t>
    </r>
  </si>
  <si>
    <r>
      <t>D</t>
    </r>
    <r>
      <rPr>
        <vertAlign val="subscript"/>
        <sz val="10"/>
        <rFont val="Tahoma"/>
        <family val="2"/>
      </rPr>
      <t xml:space="preserve">d </t>
    </r>
    <r>
      <rPr>
        <sz val="10"/>
        <rFont val="Tahoma"/>
        <family val="2"/>
      </rPr>
      <t>= diameter of drift droplet (μm)</t>
    </r>
  </si>
  <si>
    <r>
      <t>ρ</t>
    </r>
    <r>
      <rPr>
        <vertAlign val="subscript"/>
        <sz val="10"/>
        <rFont val="Tahoma"/>
        <family val="2"/>
      </rPr>
      <t>w</t>
    </r>
    <r>
      <rPr>
        <sz val="10"/>
        <rFont val="Tahoma"/>
        <family val="2"/>
      </rPr>
      <t xml:space="preserve"> = density of water = 1E-6 µg/µm</t>
    </r>
    <r>
      <rPr>
        <vertAlign val="superscript"/>
        <sz val="10"/>
        <rFont val="Tahoma"/>
        <family val="2"/>
      </rPr>
      <t>3</t>
    </r>
  </si>
  <si>
    <r>
      <t>ρ</t>
    </r>
    <r>
      <rPr>
        <vertAlign val="subscript"/>
        <sz val="10"/>
        <rFont val="Tahoma"/>
        <family val="2"/>
      </rPr>
      <t>TDS</t>
    </r>
    <r>
      <rPr>
        <sz val="10"/>
        <rFont val="Tahoma"/>
        <family val="2"/>
      </rPr>
      <t xml:space="preserve"> = density of solid particles (assume NaCl)</t>
    </r>
  </si>
  <si>
    <r>
      <t>(µm</t>
    </r>
    <r>
      <rPr>
        <b/>
        <vertAlign val="superscript"/>
        <sz val="10"/>
        <rFont val="Tahoma"/>
        <family val="2"/>
      </rPr>
      <t>3</t>
    </r>
    <r>
      <rPr>
        <b/>
        <sz val="10"/>
        <rFont val="Tahoma"/>
        <family val="2"/>
      </rPr>
      <t xml:space="preserve"> )</t>
    </r>
  </si>
  <si>
    <r>
      <t>PM</t>
    </r>
    <r>
      <rPr>
        <b/>
        <vertAlign val="subscript"/>
        <sz val="10"/>
        <rFont val="Tahoma"/>
        <family val="2"/>
      </rPr>
      <t>10</t>
    </r>
    <r>
      <rPr>
        <b/>
        <sz val="10"/>
        <rFont val="Tahoma"/>
        <family val="2"/>
      </rPr>
      <t xml:space="preserve"> and PM</t>
    </r>
    <r>
      <rPr>
        <b/>
        <vertAlign val="subscript"/>
        <sz val="10"/>
        <rFont val="Tahoma"/>
        <family val="2"/>
      </rPr>
      <t>2.5</t>
    </r>
    <r>
      <rPr>
        <b/>
        <sz val="10"/>
        <rFont val="Tahoma"/>
        <family val="2"/>
      </rPr>
      <t xml:space="preserve"> Fractions Interpolated from Size Distribution</t>
    </r>
  </si>
  <si>
    <r>
      <t>PM</t>
    </r>
    <r>
      <rPr>
        <b/>
        <vertAlign val="subscript"/>
        <sz val="10"/>
        <rFont val="Tahoma"/>
        <family val="2"/>
      </rPr>
      <t>2.5</t>
    </r>
    <r>
      <rPr>
        <b/>
        <sz val="10"/>
        <rFont val="Tahoma"/>
        <family val="2"/>
      </rPr>
      <t xml:space="preserve"> Fraction of Total PM</t>
    </r>
  </si>
  <si>
    <r>
      <t>PM</t>
    </r>
    <r>
      <rPr>
        <b/>
        <vertAlign val="subscript"/>
        <sz val="10"/>
        <rFont val="Tahoma"/>
        <family val="2"/>
      </rPr>
      <t>10</t>
    </r>
    <r>
      <rPr>
        <b/>
        <sz val="10"/>
        <rFont val="Tahoma"/>
        <family val="2"/>
      </rPr>
      <t xml:space="preserve"> Fraction of Total PM</t>
    </r>
  </si>
  <si>
    <r>
      <t>PM</t>
    </r>
    <r>
      <rPr>
        <vertAlign val="subscript"/>
        <sz val="10"/>
        <rFont val="Tahoma"/>
        <family val="2"/>
      </rPr>
      <t>10</t>
    </r>
    <r>
      <rPr>
        <sz val="10"/>
        <rFont val="Tahoma"/>
        <family val="2"/>
      </rPr>
      <t xml:space="preserve"> Emission Rate (lb/hr) = PM Emission Rate x PM</t>
    </r>
    <r>
      <rPr>
        <vertAlign val="subscript"/>
        <sz val="10"/>
        <rFont val="Tahoma"/>
        <family val="2"/>
      </rPr>
      <t>10</t>
    </r>
    <r>
      <rPr>
        <sz val="10"/>
        <rFont val="Tahoma"/>
        <family val="2"/>
      </rPr>
      <t xml:space="preserve"> Fraction</t>
    </r>
  </si>
  <si>
    <r>
      <t>PM</t>
    </r>
    <r>
      <rPr>
        <vertAlign val="subscript"/>
        <sz val="10"/>
        <rFont val="Tahoma"/>
        <family val="2"/>
      </rPr>
      <t>2.5</t>
    </r>
    <r>
      <rPr>
        <sz val="10"/>
        <rFont val="Tahoma"/>
        <family val="2"/>
      </rPr>
      <t xml:space="preserve"> Emission Rate (lb/hr) = PM Emission Rate x PM</t>
    </r>
    <r>
      <rPr>
        <vertAlign val="subscript"/>
        <sz val="10"/>
        <rFont val="Tahoma"/>
        <family val="2"/>
      </rPr>
      <t>2.5</t>
    </r>
    <r>
      <rPr>
        <sz val="10"/>
        <rFont val="Tahoma"/>
        <family val="2"/>
      </rPr>
      <t xml:space="preserve"> Fraction</t>
    </r>
  </si>
  <si>
    <r>
      <rPr>
        <vertAlign val="superscript"/>
        <sz val="10"/>
        <rFont val="Tahoma"/>
        <family val="2"/>
      </rPr>
      <t>1</t>
    </r>
    <r>
      <rPr>
        <sz val="10"/>
        <rFont val="Tahoma"/>
        <family val="2"/>
      </rPr>
      <t xml:space="preserve"> Based on particle size distrubution test data in Reisman, J. and Frisbie, G., "Calculating Realistic PM10 Emissions from Cooling Towers".</t>
    </r>
  </si>
  <si>
    <r>
      <rPr>
        <vertAlign val="superscript"/>
        <sz val="10"/>
        <rFont val="Tahoma"/>
        <family val="2"/>
      </rPr>
      <t>2</t>
    </r>
    <r>
      <rPr>
        <sz val="10"/>
        <rFont val="Tahoma"/>
        <family val="2"/>
      </rPr>
      <t xml:space="preserve"> Calculated using Equation 1.</t>
    </r>
  </si>
  <si>
    <r>
      <rPr>
        <vertAlign val="superscript"/>
        <sz val="10"/>
        <rFont val="Tahoma"/>
        <family val="2"/>
      </rPr>
      <t>3</t>
    </r>
    <r>
      <rPr>
        <sz val="10"/>
        <rFont val="Tahoma"/>
        <family val="2"/>
      </rPr>
      <t xml:space="preserve"> Calculated using Equation 2.</t>
    </r>
  </si>
  <si>
    <r>
      <rPr>
        <vertAlign val="superscript"/>
        <sz val="10"/>
        <rFont val="Tahoma"/>
        <family val="2"/>
      </rPr>
      <t>4</t>
    </r>
    <r>
      <rPr>
        <sz val="10"/>
        <rFont val="Tahoma"/>
        <family val="2"/>
      </rPr>
      <t xml:space="preserve"> Calculated using Equation 3.</t>
    </r>
  </si>
  <si>
    <r>
      <rPr>
        <vertAlign val="superscript"/>
        <sz val="10"/>
        <rFont val="Tahoma"/>
        <family val="2"/>
      </rPr>
      <t>5</t>
    </r>
    <r>
      <rPr>
        <sz val="10"/>
        <rFont val="Tahoma"/>
        <family val="2"/>
      </rPr>
      <t xml:space="preserve"> Calculated using Equation 4.</t>
    </r>
  </si>
  <si>
    <r>
      <t xml:space="preserve">Diameter </t>
    </r>
    <r>
      <rPr>
        <b/>
        <vertAlign val="superscript"/>
        <sz val="10"/>
        <rFont val="Tahoma"/>
        <family val="2"/>
      </rPr>
      <t>1</t>
    </r>
  </si>
  <si>
    <r>
      <t xml:space="preserve">Volume </t>
    </r>
    <r>
      <rPr>
        <b/>
        <vertAlign val="superscript"/>
        <sz val="10"/>
        <rFont val="Tahoma"/>
        <family val="2"/>
      </rPr>
      <t>2</t>
    </r>
  </si>
  <si>
    <r>
      <t xml:space="preserve">(Solids) </t>
    </r>
    <r>
      <rPr>
        <b/>
        <vertAlign val="superscript"/>
        <sz val="10"/>
        <rFont val="Tahoma"/>
        <family val="2"/>
      </rPr>
      <t>3</t>
    </r>
  </si>
  <si>
    <r>
      <t xml:space="preserve">Volume </t>
    </r>
    <r>
      <rPr>
        <b/>
        <vertAlign val="superscript"/>
        <sz val="10"/>
        <rFont val="Tahoma"/>
        <family val="2"/>
      </rPr>
      <t>4</t>
    </r>
  </si>
  <si>
    <r>
      <t xml:space="preserve">Diameter </t>
    </r>
    <r>
      <rPr>
        <b/>
        <vertAlign val="superscript"/>
        <sz val="10"/>
        <rFont val="Tahoma"/>
        <family val="2"/>
      </rPr>
      <t>5</t>
    </r>
  </si>
  <si>
    <r>
      <t xml:space="preserve">Smaller </t>
    </r>
    <r>
      <rPr>
        <b/>
        <vertAlign val="superscript"/>
        <sz val="10"/>
        <rFont val="Tahoma"/>
        <family val="2"/>
      </rPr>
      <t>1</t>
    </r>
  </si>
  <si>
    <t>Maximum Area</t>
  </si>
  <si>
    <t>acres</t>
  </si>
  <si>
    <t>Silt Content</t>
  </si>
  <si>
    <t>2018 EI spreadsheet</t>
  </si>
  <si>
    <t>Precipitation Days</t>
  </si>
  <si>
    <t>per year</t>
  </si>
  <si>
    <t>Time when Wind &gt; 12 mph</t>
  </si>
  <si>
    <t>Storage Piles</t>
  </si>
  <si>
    <t>Slag Storage Piles</t>
  </si>
  <si>
    <t>lbs/day/acre</t>
  </si>
  <si>
    <t>Air Pollution Engineering Manual, AWMA (1992)</t>
  </si>
  <si>
    <t>AP-42 Ch. 13.2.4. (November 2006)</t>
  </si>
  <si>
    <t>days/yr</t>
  </si>
  <si>
    <t>Paints, Thinners, Solvent Degreasers</t>
  </si>
  <si>
    <t>Paints &amp; Thinners</t>
  </si>
  <si>
    <t>% wt</t>
  </si>
  <si>
    <t>Max Usage Amount</t>
  </si>
  <si>
    <t>2018 Use =</t>
  </si>
  <si>
    <t>gal</t>
  </si>
  <si>
    <t>hours/yr</t>
  </si>
  <si>
    <t>Average Density</t>
  </si>
  <si>
    <t>2018 EI</t>
  </si>
  <si>
    <t>Ethylene Glycol</t>
  </si>
  <si>
    <t>Glycol Ethers</t>
  </si>
  <si>
    <t>Xylene</t>
  </si>
  <si>
    <t>VOC/HAP Content</t>
  </si>
  <si>
    <t>SDS - Conservatively assume all is emitted</t>
  </si>
  <si>
    <t>Solvent Degreasers</t>
  </si>
  <si>
    <t>Used Solvent Recovery Rate</t>
  </si>
  <si>
    <t>Conservative assumption</t>
  </si>
  <si>
    <t>BOP Misc. Fugitives</t>
  </si>
  <si>
    <t>Paints &amp; Solvents</t>
  </si>
  <si>
    <t>Casthouse Fugitives</t>
  </si>
  <si>
    <t>Fume Suppression (Coke Oven Gas)</t>
  </si>
  <si>
    <t>Coke Oven Gas Fume Suppression</t>
  </si>
  <si>
    <t>2018 EI - scaled for PTE</t>
  </si>
  <si>
    <t>2018 - total fume suppression (both BF's)</t>
  </si>
  <si>
    <t>MMscf</t>
  </si>
  <si>
    <t>2018 - BF iron production</t>
  </si>
  <si>
    <t>tons capacity</t>
  </si>
  <si>
    <t>Blast Furnace Raw Material Handling, Dust Handling, Slag Handling</t>
  </si>
  <si>
    <t>BOP Shop - Lime Handling, Slag Skimming/Dumping, Methanol Use</t>
  </si>
  <si>
    <t>Raw Material Handling</t>
  </si>
  <si>
    <t>Material</t>
  </si>
  <si>
    <t>Pellets - Dumped to Ore Yard</t>
  </si>
  <si>
    <t>Pellets</t>
  </si>
  <si>
    <t>Dololime</t>
  </si>
  <si>
    <t>Blast Furnace Trim</t>
  </si>
  <si>
    <t>Briquettes</t>
  </si>
  <si>
    <t>Calcite Lime</t>
  </si>
  <si>
    <t>B Scrap</t>
  </si>
  <si>
    <t>BOP Slag Reverts</t>
  </si>
  <si>
    <t>Screened Flue</t>
  </si>
  <si>
    <t>C-Mix</t>
  </si>
  <si>
    <t>Coke</t>
  </si>
  <si>
    <t>(tons/yr)</t>
  </si>
  <si>
    <t>Moisture</t>
  </si>
  <si>
    <t>Content</t>
  </si>
  <si>
    <t>Max</t>
  </si>
  <si>
    <t>Usage</t>
  </si>
  <si>
    <t xml:space="preserve">Number </t>
  </si>
  <si>
    <t>of</t>
  </si>
  <si>
    <t>Transfers</t>
  </si>
  <si>
    <t>(lb/ton)</t>
  </si>
  <si>
    <t>Max Blast Furnace Production</t>
  </si>
  <si>
    <t>Volumes from 2018</t>
  </si>
  <si>
    <t>--</t>
  </si>
  <si>
    <t>EF</t>
  </si>
  <si>
    <t>Total - All Raw Materials</t>
  </si>
  <si>
    <t xml:space="preserve">      </t>
  </si>
  <si>
    <t>Blast Furnace Flue Dust Handling from Dust Catcher</t>
  </si>
  <si>
    <t>Dust</t>
  </si>
  <si>
    <t>Material moisture contents obtained from AP-42, Fifth Ed., Table 13.2.4-1 (Aggregate Handling and Storage Piles), November 2006 or from site-specific samples where available.</t>
  </si>
  <si>
    <t>Emission factors are calculated using equation from AP-42, Fifth Ed., Section 13.2.4 (Aggregate Handling and Storage Piles), November 2006.  Wind speed data obtained from National Climatic Data Center for Pittsburgh/Allegheny County region.</t>
  </si>
  <si>
    <t>Table 18. Blast Furnace Misc. Fugitives</t>
  </si>
  <si>
    <t>Table 19. BOP Misc. Fugitives</t>
  </si>
  <si>
    <t>Table 20. Storage Pile Wind Erosion</t>
  </si>
  <si>
    <t>Table 21. Paints &amp; Solvents</t>
  </si>
  <si>
    <t>Table A. Maximum Potential Emissions from Each Source at the Facility</t>
  </si>
  <si>
    <t>Table B. Summary of Atmospheric Emissions at the Facility</t>
  </si>
  <si>
    <t>Fume Suppression</t>
  </si>
  <si>
    <t>BF Misc. Fugitives</t>
  </si>
  <si>
    <t>Flue Dust Handling</t>
  </si>
  <si>
    <t>ALL</t>
  </si>
  <si>
    <t>1. For combustion sources with the potential to operate using one or more fuel types, worst-case emissions are represented as the maximum emissions from full time operation of all fuel types.</t>
  </si>
  <si>
    <t>All PM species shown above are total PM (filterable + condensable).</t>
  </si>
  <si>
    <t xml:space="preserve">Emission Factor Development </t>
  </si>
  <si>
    <t>Boilers</t>
  </si>
  <si>
    <t>HCl</t>
  </si>
  <si>
    <t>Boiler 1</t>
  </si>
  <si>
    <t>Boiler 2</t>
  </si>
  <si>
    <t>Boiler 3</t>
  </si>
  <si>
    <t>lb/mmbtu</t>
  </si>
  <si>
    <t>Note 1</t>
  </si>
  <si>
    <t>BOP Scrubber</t>
  </si>
  <si>
    <t>NOx</t>
  </si>
  <si>
    <t>tons/process hr</t>
  </si>
  <si>
    <t>lb/process hr</t>
  </si>
  <si>
    <t>lb/ton steel</t>
  </si>
  <si>
    <t>BF Stoves</t>
  </si>
  <si>
    <t>BF1</t>
  </si>
  <si>
    <t>BF3</t>
  </si>
  <si>
    <t>Note 2</t>
  </si>
  <si>
    <t>Nox</t>
  </si>
  <si>
    <t>Note 1 - still looking ior the results</t>
  </si>
  <si>
    <t>Note 2 - tested before Title V issuance</t>
  </si>
  <si>
    <t>Title V Permit Limit (Table V-A-1)</t>
  </si>
  <si>
    <t>Title V Permit Limit (Table V-A-2)</t>
  </si>
  <si>
    <t>Emission Factor Development Testing (Max + 20% Compliance Margin)</t>
  </si>
  <si>
    <t>Assumes 90% capture/control of Casthouse Baghouse</t>
  </si>
  <si>
    <t>Combustion Emissions (All Fuels)</t>
  </si>
  <si>
    <t>Title V Permit Limit (Table V-B-1)</t>
  </si>
  <si>
    <t>March 2018 Stack Test (+ 20% Compliance Margin)</t>
  </si>
  <si>
    <t>Max from All Fuels (see below)</t>
  </si>
  <si>
    <t>CPM</t>
  </si>
  <si>
    <t>Title V Permit Limit (Table V-D-2)</t>
  </si>
  <si>
    <t>MVW EDGAR THOMSON PLANT - EMISSION FACTORS FOR USEPA GHG REPORTING</t>
  </si>
  <si>
    <t>NODE MATERIAL</t>
  </si>
  <si>
    <t>2015
WAVG</t>
  </si>
  <si>
    <t>2016
WAVG</t>
  </si>
  <si>
    <t>2017
WAVG</t>
  </si>
  <si>
    <t>2018
WAVG</t>
  </si>
  <si>
    <t>JAN</t>
  </si>
  <si>
    <t>FEB</t>
  </si>
  <si>
    <t>MAR</t>
  </si>
  <si>
    <t>APR</t>
  </si>
  <si>
    <t>MAY</t>
  </si>
  <si>
    <t>JUN</t>
  </si>
  <si>
    <t>JUL</t>
  </si>
  <si>
    <t>AUG</t>
  </si>
  <si>
    <t>SEP</t>
  </si>
  <si>
    <t>OCT</t>
  </si>
  <si>
    <t>NOV</t>
  </si>
  <si>
    <t>DEC</t>
  </si>
  <si>
    <t>2019
YTD WAVG</t>
  </si>
  <si>
    <t>2018
YTD WAVG</t>
  </si>
  <si>
    <t>YTD WAVG
CHANGE</t>
  </si>
  <si>
    <t>UNITS</t>
  </si>
  <si>
    <t>2019 MVW EDGAR THOMSON ANALYTICAL DATA SUMMARY</t>
  </si>
  <si>
    <t>CARBON DIOXIDE ANALYSES</t>
  </si>
  <si>
    <t>ET BF No. 1 FSS Coke Oven Gas</t>
  </si>
  <si>
    <t>NA</t>
  </si>
  <si>
    <t>tn/Mft3</t>
  </si>
  <si>
    <t>ET BF No. 1 Natural Gas Injection</t>
  </si>
  <si>
    <t>ET BF No. 3 FSS Coke Oven Gas</t>
  </si>
  <si>
    <t>ET BF No. 3 Natural Gas Injection</t>
  </si>
  <si>
    <t>ET BFG Flare</t>
  </si>
  <si>
    <t>ET Blast Furnace No. 1 Stoves BFG</t>
  </si>
  <si>
    <t>ET Blast Furnace No. 3 Stoves BFG</t>
  </si>
  <si>
    <t>ET BOP 1 Course Sludge Produced</t>
  </si>
  <si>
    <t>tn/tn</t>
  </si>
  <si>
    <t>ET BOP 1 Fine Sludge Produced</t>
  </si>
  <si>
    <t>ET BOP 1 Liquid Steel Produced</t>
  </si>
  <si>
    <t>ET BOP 1 Other Pollution Control Dusts</t>
  </si>
  <si>
    <t>ET BOP 1 Secondary Baghouse Dust</t>
  </si>
  <si>
    <t>ET BOP 2 Course Sludge Produced</t>
  </si>
  <si>
    <t>ET BOP 2 Fine Sludge Produced</t>
  </si>
  <si>
    <t>ET BOP 2 Liquid Steel Produced</t>
  </si>
  <si>
    <t>ET BOP 2 Other Pollution Control Dusts</t>
  </si>
  <si>
    <t>ET BOP 2 Secondary Baghouse Dust</t>
  </si>
  <si>
    <t>ET Briquettes Charged to BOP 1</t>
  </si>
  <si>
    <t>ET Briquettes Charged to BOP 2</t>
  </si>
  <si>
    <t>ET Burnt Lime Charged to BOP 1</t>
  </si>
  <si>
    <t>ET Burnt Lime Charged to BOP 2</t>
  </si>
  <si>
    <t>ET COG Main</t>
  </si>
  <si>
    <t>ET Compressor Recycle COG</t>
  </si>
  <si>
    <t>ET Dolomitic Lime Charged to BOP 1</t>
  </si>
  <si>
    <t>ET Dolomitic Lime Charged to BOP 2</t>
  </si>
  <si>
    <t>ET Hot Metal Charged to BOP 1</t>
  </si>
  <si>
    <t>ET Hot Metal Charged to BOP 2</t>
  </si>
  <si>
    <t>ET Natural Gas Main</t>
  </si>
  <si>
    <t>ET No. 2 Boiler House Boiler 1 BFG</t>
  </si>
  <si>
    <t>ET No. 2 Boiler House Boiler 2 BFG</t>
  </si>
  <si>
    <t>ET No. 2 Boiler House Boiler 3 BFG</t>
  </si>
  <si>
    <t>ET Raw Dolomite Charged to BOP 1</t>
  </si>
  <si>
    <t>ET Raw Dolomite Charged to BOP 2</t>
  </si>
  <si>
    <t>ET RHVD Liquid Steel</t>
  </si>
  <si>
    <t>ET RHVD Raw Liquid Steel</t>
  </si>
  <si>
    <t>ET Scrap Charged to BOP 1</t>
  </si>
  <si>
    <t>ET Scrap Charged to BOP 2</t>
  </si>
  <si>
    <t>ET #2 BH Boiler Pilots Coke Oven Gas</t>
  </si>
  <si>
    <t>METHANE ANALYSES</t>
  </si>
  <si>
    <t>NITROUS OXIDE ANALYSES</t>
  </si>
  <si>
    <t xml:space="preserve">Footnotes:  </t>
  </si>
  <si>
    <t xml:space="preserve">   1) Report generated from the GBCO2 Production Environment using Calculation 1774 / USEPA GHG REPORTING: TOTAL EMISSIONS.</t>
  </si>
  <si>
    <t xml:space="preserve">   2) Report created on March 11, 2020 at 5:28 AM by M. Conedera   </t>
  </si>
  <si>
    <t xml:space="preserve">   3) YTD Calculation through December.</t>
  </si>
  <si>
    <t xml:space="preserve">   4) Cognos Report Name: "Factor A Summary Weighted Multi for eCognos"</t>
  </si>
  <si>
    <t xml:space="preserve">   5) "NA" indicates division by zero.</t>
  </si>
  <si>
    <t xml:space="preserve">   6) "---" indicates missing or unavailable data.</t>
  </si>
  <si>
    <t>MAX</t>
  </si>
  <si>
    <t>No methane from this process</t>
  </si>
  <si>
    <t>No nitrous oxide from this process</t>
  </si>
  <si>
    <t>Site-specific emission factor (Max + 20% Compliance Margin)</t>
  </si>
  <si>
    <r>
      <t>ton CO</t>
    </r>
    <r>
      <rPr>
        <vertAlign val="subscript"/>
        <sz val="10"/>
        <color rgb="FF000000"/>
        <rFont val="Tahoma"/>
        <family val="2"/>
      </rPr>
      <t>2</t>
    </r>
    <r>
      <rPr>
        <sz val="10"/>
        <color indexed="8"/>
        <rFont val="Tahoma"/>
        <family val="2"/>
      </rPr>
      <t>/ton</t>
    </r>
  </si>
  <si>
    <t>Title V Permit Limit (Table V-D-3)</t>
  </si>
  <si>
    <r>
      <t>Assumed PM</t>
    </r>
    <r>
      <rPr>
        <vertAlign val="subscript"/>
        <sz val="10"/>
        <rFont val="Tahoma"/>
        <family val="2"/>
      </rPr>
      <t>2.5</t>
    </r>
    <r>
      <rPr>
        <sz val="10"/>
        <rFont val="Tahoma"/>
        <family val="2"/>
      </rPr>
      <t xml:space="preserve"> = PM</t>
    </r>
    <r>
      <rPr>
        <vertAlign val="subscript"/>
        <sz val="10"/>
        <rFont val="Tahoma"/>
        <family val="2"/>
      </rPr>
      <t>10</t>
    </r>
  </si>
  <si>
    <t>Title V Permit Limit (Table V-D-1 minus Table V-D-2)</t>
  </si>
  <si>
    <t>Title V Permit Limit (Table V-E-1)</t>
  </si>
  <si>
    <t>April 2017 test, per 2018 AEI</t>
  </si>
  <si>
    <t>Title V Permit Limit (Table V-F-1)</t>
  </si>
  <si>
    <t>ACME Steel Staff Correspondence (Sep-1997)</t>
  </si>
  <si>
    <t>Title V Permit Limit (Table V-H-1) - All Boilers</t>
  </si>
  <si>
    <t>Assumes PM2.5 = PM10</t>
  </si>
  <si>
    <t>SO2 NAAQS IP-6 Limit (Table V-A-1) - All Boilers</t>
  </si>
  <si>
    <t>SO2 NAAQS IP-6 Permit Limit (Table V-A-1)</t>
  </si>
  <si>
    <t>SO2 NAAQS IP-6 Permit Limit (Table V-A-2)</t>
  </si>
  <si>
    <t>Table 22. Misc. Natural Gas Combustion</t>
  </si>
  <si>
    <t>Misc. Plant Combustion Sources</t>
  </si>
  <si>
    <t>Title XXI Spreadsheet - 2019 "ET MISC. NG CONSUMPTION) - scaled up for PTE based on ratio of 2019 steel production rate to max steel production rate</t>
  </si>
  <si>
    <t>10/7/2020 - DRAFT</t>
  </si>
  <si>
    <t>Table 23. Emergency Generators</t>
  </si>
  <si>
    <t>Emergency Generators</t>
  </si>
  <si>
    <t>Number of Units</t>
  </si>
  <si>
    <t>Engine Rating</t>
  </si>
  <si>
    <t>hp</t>
  </si>
  <si>
    <t>Brake-Specific Fuel Consumption</t>
  </si>
  <si>
    <t>Btu/hp-hr</t>
  </si>
  <si>
    <t>[AP-42, Table 3.4-1, Note (e)]</t>
  </si>
  <si>
    <t>[Ultra Low-Sulfur Diesel]</t>
  </si>
  <si>
    <t>Engine Heat Input Rating</t>
  </si>
  <si>
    <t>Diesel Fuel Sulfur Content</t>
  </si>
  <si>
    <t>Diesel Emergency Generators</t>
  </si>
  <si>
    <t>Combustion Emissions (Diesel)</t>
  </si>
  <si>
    <t>g/kW-hr</t>
  </si>
  <si>
    <t>kW</t>
  </si>
  <si>
    <t>Manufacturer's Data Sheet</t>
  </si>
  <si>
    <t>lb/hp-hr</t>
  </si>
  <si>
    <t xml:space="preserve">AP-42, Table 3.4-1 (Oct-1996) &amp; ULSD </t>
  </si>
  <si>
    <t>AP-42 Table 3.4-2 (Oct-1996)</t>
  </si>
  <si>
    <t>Acetaldehyde</t>
  </si>
  <si>
    <t>Acrolein</t>
  </si>
  <si>
    <t>AP-42 Table 3.4-3 (Oct-1996)</t>
  </si>
  <si>
    <t>40 CFR 98, Subpart C, Tble C-1 for Diesel</t>
  </si>
  <si>
    <t>40 CFR 98, Subpart C, Table C-2 for Diesel</t>
  </si>
  <si>
    <t>Misc. Natural Gas Combustion</t>
  </si>
  <si>
    <t>Current Permit Summary Table</t>
  </si>
  <si>
    <t>P001 Totals</t>
  </si>
  <si>
    <t>NG</t>
  </si>
  <si>
    <t>COG</t>
  </si>
  <si>
    <t>BFG</t>
  </si>
  <si>
    <t>ACHD Form</t>
  </si>
  <si>
    <t>A</t>
  </si>
  <si>
    <t>B (x3)</t>
  </si>
  <si>
    <t>F</t>
  </si>
  <si>
    <t>G</t>
  </si>
  <si>
    <t>scaled based on 2018 production vs. max production</t>
  </si>
  <si>
    <t>Note: The department changed the compliance margin to 15%</t>
  </si>
  <si>
    <t>The compliance marginh was changed to 15%</t>
  </si>
  <si>
    <t>The 2018 CO BOP Scrubber is an outlier and was removed from the emissions limit estimation</t>
  </si>
  <si>
    <t>The 2016 CO EF for BF1 is an outlier and was removed from the emissions limit estimation</t>
  </si>
  <si>
    <t>This the formular the facility used to estimate the solvent degreaser VOC emissions</t>
  </si>
  <si>
    <t>NOTE: I removed the 15% compliance margin added to the emissions factors. These are fugitiver emissons. No need to adjust or increase it.</t>
  </si>
  <si>
    <t>Solvent Degreaser VOC emissions = C35*C36*E44%/2000*(100-C37)</t>
  </si>
  <si>
    <t>The PM fugitive was eliminated from the final limit as calculated by the facility because Article XXI §2104.02.c.9.A already said it shall include all fugitive emissions. If the facility believes that it should be calculated separte, the 90% capture and control efficiency shall be estimated from the calculated 213.17 tpy in D29 above and the uncontrol should then be the process PM while the remaining uncaptured should be the fugitive</t>
  </si>
  <si>
    <t>NOTE: This is a flare that is used to combust excess gas that is not used by the process, and because it is difficult to consistently estimate the unused gas, the flare capacity/throughput was used to estimate the potential emissions and therefore,  there is no reason to consider the 15% compliance margin</t>
  </si>
  <si>
    <t xml:space="preserve">But I think the used recovery rate should not be included in the calculation as if it is a control efficiency, therefore eliminate the 95% from the calcultaion </t>
  </si>
  <si>
    <t>Emission Factor Development Testing (Max + 15% Compliance Margin)</t>
  </si>
  <si>
    <t>March 2018 Stack Test (+ 15% Compliance Margin)</t>
  </si>
  <si>
    <t>2012 Stove Stack Test (+ 15% Compliance Margin)</t>
  </si>
  <si>
    <t>2011 Boiler Stack Test (+ 15% Compliance Margin)</t>
  </si>
  <si>
    <t>RACT IP8a (for lbs/hr limit) &amp; Title V Permit Limit (Table V-H-2) - All Boilers</t>
  </si>
  <si>
    <t>RACT IP8a (for tons/yr limit) &amp; Title V Permit Limit (Table V-H-2) - All Boilers</t>
  </si>
  <si>
    <t>NOTE: I removed the 15% compliance margin added to the emissions factors. There is no reason to add compliance marging to greenhouse gas emissions</t>
  </si>
  <si>
    <t>F003</t>
  </si>
  <si>
    <t>I removed the BFG Flare from the total emissions because the limit is based on the flare capacity, which is over estimation because the flare is used to combust excess BFG and as a safety device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</si>
</sst>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_(&quot;$&quot;* \(#,##0.00\);_(&quot;$&quot;* &quot;-&quot;??_);_(@_)"/>
    <numFmt numFmtId="43" formatCode="_(* #,##0.00_);_(* \(#,##0.00\);_(* &quot;-&quot;??_);_(@_)"/>
    <numFmt numFmtId="164" formatCode="0.000"/>
    <numFmt numFmtId="165" formatCode="0.0000"/>
    <numFmt numFmtId="166" formatCode="0.0"/>
    <numFmt numFmtId="167" formatCode="0.000000"/>
    <numFmt numFmtId="168" formatCode="#,##0.000"/>
    <numFmt numFmtId="169" formatCode="#,##0.0"/>
    <numFmt numFmtId="170" formatCode="#,##0.0000"/>
    <numFmt numFmtId="171" formatCode="0.0000%"/>
    <numFmt numFmtId="172" formatCode="0.00.E+00"/>
    <numFmt numFmtId="173" formatCode="#,##0.000;\(#,##0.000\)"/>
    <numFmt numFmtId="174" formatCode="#,##0.00%;\(#,##0.00\)%"/>
    <numFmt numFmtId="175" formatCode="0.0000E+00;\(0.0000E+00\)"/>
    <numFmt numFmtId="176" formatCode="#,##0.00000;\(#,##0.00000\)"/>
    <numFmt numFmtId="177" formatCode="_(* #,##0_);_(* \(#,##0\);_(* &quot;-&quot;??_);_(@_)"/>
    <numFmt numFmtId="178" formatCode="#,##0.00000"/>
  </numFmts>
  <fonts count="74">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Geneva"/>
    </font>
    <font>
      <sz val="10"/>
      <name val="MS Sans Serif"/>
      <family val="2"/>
    </font>
    <font>
      <b/>
      <sz val="9"/>
      <color indexed="81"/>
      <name val="Tahoma"/>
      <family val="2"/>
    </font>
    <font>
      <sz val="9"/>
      <color indexed="81"/>
      <name val="Tahoma"/>
      <family val="2"/>
    </font>
    <font>
      <sz val="10"/>
      <name val="Arial"/>
      <family val="2"/>
    </font>
    <font>
      <sz val="10"/>
      <color theme="1"/>
      <name val="Tahoma"/>
      <family val="2"/>
    </font>
    <font>
      <b/>
      <sz val="10"/>
      <color theme="0"/>
      <name val="Tahoma"/>
      <family val="2"/>
    </font>
    <font>
      <b/>
      <sz val="10"/>
      <color rgb="FF0070C0"/>
      <name val="Tahoma"/>
      <family val="2"/>
    </font>
    <font>
      <b/>
      <u/>
      <sz val="10"/>
      <color theme="1"/>
      <name val="Tahoma"/>
      <family val="2"/>
    </font>
    <font>
      <b/>
      <sz val="10"/>
      <color rgb="FFFF0000"/>
      <name val="Tahoma"/>
      <family val="2"/>
    </font>
    <font>
      <sz val="10"/>
      <color rgb="FFFF0000"/>
      <name val="Tahoma"/>
      <family val="2"/>
    </font>
    <font>
      <b/>
      <i/>
      <sz val="10"/>
      <color indexed="10"/>
      <name val="Tahoma"/>
      <family val="2"/>
    </font>
    <font>
      <sz val="10"/>
      <color indexed="8"/>
      <name val="Tahoma"/>
      <family val="2"/>
    </font>
    <font>
      <b/>
      <sz val="10"/>
      <color indexed="8"/>
      <name val="Tahoma"/>
      <family val="2"/>
    </font>
    <font>
      <b/>
      <i/>
      <u/>
      <sz val="10"/>
      <color indexed="10"/>
      <name val="Tahoma"/>
      <family val="2"/>
    </font>
    <font>
      <u/>
      <sz val="10"/>
      <color indexed="8"/>
      <name val="Tahoma"/>
      <family val="2"/>
    </font>
    <font>
      <sz val="10"/>
      <name val="Tahoma"/>
      <family val="2"/>
    </font>
    <font>
      <vertAlign val="subscript"/>
      <sz val="10"/>
      <color indexed="8"/>
      <name val="Tahoma"/>
      <family val="2"/>
    </font>
    <font>
      <vertAlign val="subscript"/>
      <sz val="10"/>
      <name val="Tahoma"/>
      <family val="2"/>
    </font>
    <font>
      <u/>
      <sz val="10"/>
      <name val="Tahoma"/>
      <family val="2"/>
    </font>
    <font>
      <b/>
      <sz val="10"/>
      <name val="Tahoma"/>
      <family val="2"/>
    </font>
    <font>
      <b/>
      <vertAlign val="subscript"/>
      <sz val="10"/>
      <name val="Tahoma"/>
      <family val="2"/>
    </font>
    <font>
      <vertAlign val="superscript"/>
      <sz val="10"/>
      <name val="Tahoma"/>
      <family val="2"/>
    </font>
    <font>
      <i/>
      <sz val="10"/>
      <name val="Tahoma"/>
      <family val="2"/>
    </font>
    <font>
      <sz val="10"/>
      <color theme="0"/>
      <name val="Tahoma"/>
      <family val="2"/>
    </font>
    <font>
      <b/>
      <sz val="10"/>
      <color theme="1"/>
      <name val="Tahoma"/>
      <family val="2"/>
    </font>
    <font>
      <vertAlign val="subscript"/>
      <sz val="10"/>
      <color theme="1"/>
      <name val="Tahoma"/>
      <family val="2"/>
    </font>
    <font>
      <b/>
      <sz val="9"/>
      <color theme="1"/>
      <name val="Tahoma"/>
      <family val="2"/>
    </font>
    <font>
      <b/>
      <vertAlign val="subscript"/>
      <sz val="9"/>
      <color theme="1"/>
      <name val="Tahoma"/>
      <family val="2"/>
    </font>
    <font>
      <sz val="9"/>
      <color theme="1"/>
      <name val="Tahoma"/>
      <family val="2"/>
    </font>
    <font>
      <b/>
      <vertAlign val="subscript"/>
      <sz val="10"/>
      <color theme="1"/>
      <name val="Tahoma"/>
      <family val="2"/>
    </font>
    <font>
      <b/>
      <i/>
      <sz val="10"/>
      <color rgb="FFC00000"/>
      <name val="Tahoma"/>
      <family val="2"/>
    </font>
    <font>
      <b/>
      <i/>
      <sz val="10"/>
      <color theme="0"/>
      <name val="Tahoma"/>
      <family val="2"/>
    </font>
    <font>
      <b/>
      <vertAlign val="subscript"/>
      <sz val="10"/>
      <color rgb="FFFF0000"/>
      <name val="Tahoma"/>
      <family val="2"/>
    </font>
    <font>
      <u/>
      <sz val="10"/>
      <color theme="1"/>
      <name val="Tahoma"/>
      <family val="2"/>
    </font>
    <font>
      <vertAlign val="superscript"/>
      <sz val="10"/>
      <color theme="1"/>
      <name val="Tahoma"/>
      <family val="2"/>
    </font>
    <font>
      <b/>
      <vertAlign val="superscript"/>
      <sz val="10"/>
      <color theme="1"/>
      <name val="Tahoma"/>
      <family val="2"/>
    </font>
    <font>
      <sz val="8"/>
      <name val="Calibri"/>
      <family val="2"/>
      <scheme val="minor"/>
    </font>
    <font>
      <b/>
      <u/>
      <sz val="10"/>
      <color theme="0"/>
      <name val="Tahoma"/>
      <family val="2"/>
    </font>
    <font>
      <i/>
      <sz val="10"/>
      <color indexed="8"/>
      <name val="Tahoma"/>
      <family val="2"/>
    </font>
    <font>
      <i/>
      <sz val="9"/>
      <color theme="1"/>
      <name val="Tahoma"/>
      <family val="2"/>
    </font>
    <font>
      <i/>
      <sz val="10"/>
      <color theme="1"/>
      <name val="Tahoma"/>
      <family val="2"/>
    </font>
    <font>
      <b/>
      <i/>
      <sz val="9"/>
      <color theme="1"/>
      <name val="Tahoma"/>
      <family val="2"/>
    </font>
    <font>
      <b/>
      <i/>
      <sz val="10"/>
      <color theme="1"/>
      <name val="Tahoma"/>
      <family val="2"/>
    </font>
    <font>
      <sz val="10"/>
      <name val="Calibri"/>
      <family val="2"/>
      <scheme val="minor"/>
    </font>
    <font>
      <i/>
      <sz val="10"/>
      <name val="Calibri"/>
      <family val="2"/>
      <scheme val="minor"/>
    </font>
    <font>
      <u/>
      <sz val="10"/>
      <name val="Calibri"/>
      <family val="2"/>
      <scheme val="minor"/>
    </font>
    <font>
      <b/>
      <u/>
      <sz val="10"/>
      <name val="Tahoma"/>
      <family val="2"/>
    </font>
    <font>
      <b/>
      <i/>
      <sz val="10"/>
      <name val="Tahoma"/>
      <family val="2"/>
    </font>
    <font>
      <b/>
      <i/>
      <u/>
      <sz val="10"/>
      <name val="Tahoma"/>
      <family val="2"/>
    </font>
    <font>
      <b/>
      <vertAlign val="superscript"/>
      <sz val="10"/>
      <name val="Tahoma"/>
      <family val="2"/>
    </font>
    <font>
      <i/>
      <u/>
      <sz val="10"/>
      <name val="Tahoma"/>
      <family val="2"/>
    </font>
    <font>
      <b/>
      <u/>
      <sz val="10"/>
      <color rgb="FFC00000"/>
      <name val="Tahoma"/>
      <family val="2"/>
    </font>
    <font>
      <b/>
      <sz val="11"/>
      <color theme="1"/>
      <name val="Calibri"/>
      <family val="2"/>
      <scheme val="minor"/>
    </font>
    <font>
      <sz val="11"/>
      <color rgb="FF808080"/>
      <name val="Calibri"/>
      <family val="2"/>
      <scheme val="minor"/>
    </font>
    <font>
      <b/>
      <sz val="8"/>
      <color rgb="FF000000"/>
      <name val="Arial"/>
      <family val="2"/>
    </font>
    <font>
      <b/>
      <sz val="8"/>
      <color rgb="FFFFFFFF"/>
      <name val="Arial"/>
      <family val="2"/>
    </font>
    <font>
      <b/>
      <sz val="8"/>
      <color rgb="FF31455E"/>
      <name val="Arial"/>
      <family val="2"/>
    </font>
    <font>
      <sz val="8"/>
      <color rgb="FF000000"/>
      <name val="Arial"/>
      <family val="2"/>
    </font>
    <font>
      <sz val="8"/>
      <color rgb="FFFF0000"/>
      <name val="Arial"/>
      <family val="2"/>
    </font>
    <font>
      <sz val="8"/>
      <color rgb="FF0000FF"/>
      <name val="Arial"/>
      <family val="2"/>
    </font>
    <font>
      <vertAlign val="subscript"/>
      <sz val="10"/>
      <color rgb="FF000000"/>
      <name val="Tahoma"/>
      <family val="2"/>
    </font>
    <font>
      <sz val="10"/>
      <name val="Times New Roman"/>
      <family val="1"/>
    </font>
    <font>
      <i/>
      <sz val="10"/>
      <color theme="0"/>
      <name val="Tahoma"/>
      <family val="2"/>
    </font>
    <font>
      <b/>
      <sz val="11"/>
      <color rgb="FFFF0000"/>
      <name val="Calibri"/>
      <family val="2"/>
      <scheme val="minor"/>
    </font>
    <font>
      <sz val="11"/>
      <color rgb="FFFF0000"/>
      <name val="Calibri"/>
      <family val="2"/>
      <scheme val="minor"/>
    </font>
    <font>
      <sz val="9"/>
      <color indexed="81"/>
      <name val="Tahoma"/>
      <charset val="1"/>
    </font>
    <font>
      <b/>
      <sz val="9"/>
      <color indexed="81"/>
      <name val="Tahoma"/>
      <charset val="1"/>
    </font>
    <font>
      <b/>
      <i/>
      <sz val="10"/>
      <color rgb="FFFF0000"/>
      <name val="Tahoma"/>
      <family val="2"/>
    </font>
    <font>
      <b/>
      <sz val="12"/>
      <color rgb="FFFF0000"/>
      <name val="Tahoma"/>
      <family val="2"/>
    </font>
  </fonts>
  <fills count="1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B2B2B2"/>
        <bgColor indexed="64"/>
      </patternFill>
    </fill>
    <fill>
      <patternFill patternType="solid">
        <fgColor rgb="FF5F91CB"/>
        <bgColor indexed="64"/>
      </patternFill>
    </fill>
    <fill>
      <patternFill patternType="solid">
        <fgColor rgb="FFFFCC99"/>
        <bgColor indexed="64"/>
      </patternFill>
    </fill>
    <fill>
      <patternFill patternType="solid">
        <fgColor rgb="FF5D908A"/>
        <bgColor indexed="64"/>
      </patternFill>
    </fill>
    <fill>
      <patternFill patternType="solid">
        <fgColor rgb="FFFFFFFF"/>
        <bgColor indexed="64"/>
      </patternFill>
    </fill>
    <fill>
      <patternFill patternType="solid">
        <fgColor rgb="FFFFFF99"/>
        <bgColor indexed="64"/>
      </patternFill>
    </fill>
    <fill>
      <patternFill patternType="solid">
        <fgColor rgb="FFC0C0C0"/>
        <bgColor indexed="64"/>
      </patternFill>
    </fill>
    <fill>
      <patternFill patternType="solid">
        <fgColor theme="0"/>
        <bgColor indexed="64"/>
      </patternFill>
    </fill>
    <fill>
      <patternFill patternType="solid">
        <fgColor rgb="FFFFFF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style="thin">
        <color rgb="FF808080"/>
      </right>
      <top style="thin">
        <color rgb="FF808080"/>
      </top>
      <bottom/>
      <diagonal/>
    </border>
    <border>
      <left style="thin">
        <color rgb="FF808080"/>
      </left>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s>
  <cellStyleXfs count="42">
    <xf numFmtId="0" fontId="0" fillId="0" borderId="0"/>
    <xf numFmtId="0" fontId="2" fillId="0" borderId="0"/>
    <xf numFmtId="0" fontId="1" fillId="0" borderId="0"/>
    <xf numFmtId="43" fontId="2" fillId="0" borderId="0" applyFont="0" applyFill="0" applyBorder="0" applyAlignment="0" applyProtection="0"/>
    <xf numFmtId="0" fontId="1" fillId="0" borderId="0"/>
    <xf numFmtId="43" fontId="3" fillId="0" borderId="0" applyFont="0" applyFill="0" applyBorder="0" applyAlignment="0" applyProtection="0"/>
    <xf numFmtId="0" fontId="4" fillId="0" borderId="0"/>
    <xf numFmtId="0" fontId="1" fillId="0" borderId="0"/>
    <xf numFmtId="0" fontId="5" fillId="0" borderId="0"/>
    <xf numFmtId="40"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9" fontId="2" fillId="0" borderId="0" applyFont="0" applyFill="0" applyBorder="0" applyAlignment="0" applyProtection="0"/>
    <xf numFmtId="0" fontId="1" fillId="0" borderId="0"/>
    <xf numFmtId="0" fontId="59" fillId="6" borderId="0">
      <alignment horizontal="left"/>
    </xf>
    <xf numFmtId="0" fontId="59" fillId="6" borderId="0">
      <alignment horizontal="center"/>
    </xf>
    <xf numFmtId="0" fontId="59" fillId="7" borderId="0">
      <alignment horizontal="left"/>
    </xf>
    <xf numFmtId="0" fontId="60" fillId="7" borderId="0">
      <alignment horizontal="left" vertical="top"/>
    </xf>
    <xf numFmtId="0" fontId="60" fillId="7" borderId="0">
      <alignment horizontal="left" vertical="top"/>
    </xf>
    <xf numFmtId="0" fontId="59" fillId="8" borderId="0">
      <alignment horizontal="left"/>
    </xf>
    <xf numFmtId="0" fontId="61" fillId="8" borderId="0">
      <alignment horizontal="left" vertical="top"/>
    </xf>
    <xf numFmtId="0" fontId="61" fillId="8" borderId="0">
      <alignment horizontal="left" vertical="top"/>
    </xf>
    <xf numFmtId="0" fontId="62" fillId="9" borderId="0">
      <alignment horizontal="left"/>
    </xf>
    <xf numFmtId="0" fontId="62" fillId="9" borderId="0">
      <alignment horizontal="right"/>
    </xf>
    <xf numFmtId="0" fontId="63" fillId="9" borderId="0">
      <alignment horizontal="center"/>
    </xf>
    <xf numFmtId="0" fontId="62" fillId="9" borderId="0">
      <alignment horizontal="center"/>
    </xf>
    <xf numFmtId="0" fontId="64" fillId="9" borderId="0">
      <alignment horizontal="center"/>
    </xf>
    <xf numFmtId="0" fontId="62" fillId="11" borderId="0">
      <alignment horizontal="left" vertical="center"/>
    </xf>
    <xf numFmtId="0" fontId="62" fillId="11" borderId="0">
      <alignment horizontal="left" vertical="center"/>
    </xf>
    <xf numFmtId="0" fontId="62" fillId="11" borderId="0">
      <alignment horizontal="left" vertical="center"/>
    </xf>
    <xf numFmtId="0" fontId="59" fillId="9" borderId="0">
      <alignment horizontal="left"/>
    </xf>
    <xf numFmtId="0" fontId="62" fillId="9" borderId="0">
      <alignment horizontal="left" vertical="center"/>
    </xf>
    <xf numFmtId="0" fontId="62" fillId="9" borderId="0">
      <alignment horizontal="left" vertical="center"/>
    </xf>
    <xf numFmtId="0" fontId="62" fillId="9" borderId="0">
      <alignment horizontal="left"/>
    </xf>
    <xf numFmtId="0" fontId="62" fillId="9" borderId="0">
      <alignment horizontal="left" vertical="center"/>
    </xf>
    <xf numFmtId="0" fontId="62" fillId="9" borderId="0">
      <alignment horizontal="left" vertical="center"/>
    </xf>
    <xf numFmtId="0" fontId="62" fillId="9" borderId="0">
      <alignment horizontal="left"/>
    </xf>
    <xf numFmtId="0" fontId="62" fillId="9" borderId="0">
      <alignment horizontal="left" vertical="center"/>
    </xf>
    <xf numFmtId="0" fontId="62" fillId="9" borderId="0">
      <alignment horizontal="left" vertical="center"/>
    </xf>
    <xf numFmtId="0" fontId="66" fillId="0" borderId="0"/>
    <xf numFmtId="43" fontId="1" fillId="0" borderId="0" applyFont="0" applyFill="0" applyBorder="0" applyAlignment="0" applyProtection="0"/>
  </cellStyleXfs>
  <cellXfs count="835">
    <xf numFmtId="0" fontId="0" fillId="0" borderId="0" xfId="0"/>
    <xf numFmtId="0" fontId="9" fillId="0" borderId="0" xfId="7" applyFont="1"/>
    <xf numFmtId="0" fontId="9" fillId="0" borderId="0" xfId="7" applyFont="1" applyAlignment="1">
      <alignment horizontal="left" vertical="center"/>
    </xf>
    <xf numFmtId="0" fontId="9" fillId="0" borderId="0" xfId="7" applyFont="1" applyFill="1"/>
    <xf numFmtId="0" fontId="10" fillId="0" borderId="0" xfId="7" applyFont="1"/>
    <xf numFmtId="0" fontId="11" fillId="0" borderId="0" xfId="2" applyFont="1"/>
    <xf numFmtId="0" fontId="9" fillId="0" borderId="0" xfId="2" applyFont="1"/>
    <xf numFmtId="0" fontId="9" fillId="0" borderId="0" xfId="2" applyFont="1" applyAlignment="1">
      <alignment horizontal="left" vertical="center"/>
    </xf>
    <xf numFmtId="0" fontId="9" fillId="0" borderId="0" xfId="2" applyFont="1" applyFill="1"/>
    <xf numFmtId="0" fontId="10" fillId="0" borderId="0" xfId="2" applyFont="1"/>
    <xf numFmtId="0" fontId="13" fillId="0" borderId="0" xfId="4" applyFont="1"/>
    <xf numFmtId="0" fontId="14" fillId="0" borderId="0" xfId="4" applyFont="1"/>
    <xf numFmtId="0" fontId="14" fillId="0" borderId="0" xfId="4" applyFont="1" applyAlignment="1">
      <alignment horizontal="left" vertical="center"/>
    </xf>
    <xf numFmtId="0" fontId="14" fillId="0" borderId="0" xfId="4" applyFont="1" applyFill="1"/>
    <xf numFmtId="0" fontId="15" fillId="0" borderId="0" xfId="7" applyFont="1" applyAlignment="1">
      <alignment horizontal="left"/>
    </xf>
    <xf numFmtId="0" fontId="16" fillId="0" borderId="0" xfId="7" applyFont="1" applyAlignment="1">
      <alignment horizontal="center" wrapText="1"/>
    </xf>
    <xf numFmtId="0" fontId="16" fillId="0" borderId="0" xfId="7" applyFont="1"/>
    <xf numFmtId="0" fontId="16" fillId="0" borderId="0" xfId="7" applyFont="1" applyAlignment="1">
      <alignment horizontal="left" vertical="center"/>
    </xf>
    <xf numFmtId="0" fontId="16" fillId="0" borderId="0" xfId="7" applyFont="1" applyFill="1"/>
    <xf numFmtId="0" fontId="17" fillId="0" borderId="0" xfId="7" applyFont="1" applyFill="1" applyAlignment="1">
      <alignment vertical="center"/>
    </xf>
    <xf numFmtId="0" fontId="17" fillId="0" borderId="0" xfId="7" applyFont="1" applyFill="1" applyAlignment="1">
      <alignment horizontal="left" vertical="center"/>
    </xf>
    <xf numFmtId="0" fontId="16" fillId="0" borderId="0" xfId="7" applyFont="1" applyFill="1" applyAlignment="1">
      <alignment horizontal="left" vertical="center"/>
    </xf>
    <xf numFmtId="0" fontId="10" fillId="0" borderId="0" xfId="7" applyFont="1" applyFill="1"/>
    <xf numFmtId="0" fontId="17" fillId="0" borderId="0" xfId="7" quotePrefix="1" applyFont="1" applyFill="1" applyAlignment="1">
      <alignment horizontal="left" vertical="center"/>
    </xf>
    <xf numFmtId="3" fontId="16" fillId="0" borderId="0" xfId="7" applyNumberFormat="1" applyFont="1" applyFill="1" applyAlignment="1">
      <alignment horizontal="left" vertical="center" wrapText="1"/>
    </xf>
    <xf numFmtId="0" fontId="16" fillId="0" borderId="0" xfId="7" applyFont="1" applyFill="1" applyAlignment="1">
      <alignment horizontal="center"/>
    </xf>
    <xf numFmtId="1" fontId="16" fillId="0" borderId="0" xfId="7" applyNumberFormat="1" applyFont="1" applyFill="1" applyAlignment="1">
      <alignment horizontal="left" vertical="center" wrapText="1"/>
    </xf>
    <xf numFmtId="0" fontId="16" fillId="0" borderId="0" xfId="7" applyFont="1" applyFill="1" applyAlignment="1">
      <alignment horizontal="center" wrapText="1"/>
    </xf>
    <xf numFmtId="0" fontId="16" fillId="0" borderId="1" xfId="7" applyFont="1" applyFill="1" applyBorder="1"/>
    <xf numFmtId="0" fontId="16" fillId="0" borderId="2" xfId="7" applyFont="1" applyFill="1" applyBorder="1"/>
    <xf numFmtId="0" fontId="16" fillId="0" borderId="2" xfId="7" applyFont="1" applyFill="1" applyBorder="1" applyAlignment="1">
      <alignment horizontal="center" wrapText="1"/>
    </xf>
    <xf numFmtId="0" fontId="16" fillId="0" borderId="2" xfId="7" applyFont="1" applyFill="1" applyBorder="1" applyAlignment="1">
      <alignment horizontal="center"/>
    </xf>
    <xf numFmtId="0" fontId="16" fillId="0" borderId="3" xfId="7" applyFont="1" applyFill="1" applyBorder="1"/>
    <xf numFmtId="0" fontId="17" fillId="0" borderId="24" xfId="7" applyFont="1" applyFill="1" applyBorder="1" applyAlignment="1">
      <alignment horizontal="left" vertical="center" wrapText="1"/>
    </xf>
    <xf numFmtId="0" fontId="17" fillId="0" borderId="0" xfId="7" applyFont="1" applyFill="1" applyBorder="1" applyAlignment="1">
      <alignment horizontal="center" vertical="center" wrapText="1"/>
    </xf>
    <xf numFmtId="0" fontId="17" fillId="0" borderId="4" xfId="7" applyFont="1" applyFill="1" applyBorder="1" applyAlignment="1">
      <alignment horizontal="center" vertical="center" wrapText="1"/>
    </xf>
    <xf numFmtId="0" fontId="10" fillId="0" borderId="0" xfId="7" applyFont="1" applyFill="1" applyAlignment="1">
      <alignment horizontal="center" vertical="center"/>
    </xf>
    <xf numFmtId="0" fontId="17" fillId="0" borderId="0" xfId="7" applyFont="1" applyFill="1" applyAlignment="1">
      <alignment horizontal="center" vertical="center"/>
    </xf>
    <xf numFmtId="0" fontId="16" fillId="0" borderId="25" xfId="7" applyFont="1" applyFill="1" applyBorder="1"/>
    <xf numFmtId="0" fontId="16" fillId="0" borderId="5" xfId="7" applyFont="1" applyFill="1" applyBorder="1"/>
    <xf numFmtId="0" fontId="16" fillId="0" borderId="5" xfId="7" applyFont="1" applyFill="1" applyBorder="1" applyAlignment="1">
      <alignment horizontal="center" wrapText="1"/>
    </xf>
    <xf numFmtId="0" fontId="16" fillId="0" borderId="5" xfId="7" applyFont="1" applyFill="1" applyBorder="1" applyAlignment="1">
      <alignment horizontal="center"/>
    </xf>
    <xf numFmtId="0" fontId="16" fillId="0" borderId="6" xfId="7" applyFont="1" applyFill="1" applyBorder="1"/>
    <xf numFmtId="0" fontId="18" fillId="0" borderId="24" xfId="7" applyFont="1" applyFill="1" applyBorder="1"/>
    <xf numFmtId="0" fontId="18" fillId="0" borderId="0" xfId="7" applyFont="1" applyFill="1" applyBorder="1"/>
    <xf numFmtId="0" fontId="19" fillId="0" borderId="0" xfId="7" applyFont="1" applyFill="1" applyBorder="1" applyAlignment="1">
      <alignment horizontal="center" wrapText="1"/>
    </xf>
    <xf numFmtId="0" fontId="16" fillId="0" borderId="0" xfId="7" applyFont="1" applyFill="1" applyBorder="1" applyAlignment="1">
      <alignment horizontal="center"/>
    </xf>
    <xf numFmtId="0" fontId="16" fillId="0" borderId="4" xfId="7" applyFont="1" applyFill="1" applyBorder="1"/>
    <xf numFmtId="0" fontId="20" fillId="0" borderId="24" xfId="7" applyFont="1" applyFill="1" applyBorder="1" applyAlignment="1">
      <alignment horizontal="left" vertical="center"/>
    </xf>
    <xf numFmtId="2" fontId="20" fillId="0" borderId="0" xfId="7" applyNumberFormat="1" applyFont="1" applyFill="1" applyBorder="1" applyAlignment="1">
      <alignment horizontal="center" vertical="center"/>
    </xf>
    <xf numFmtId="4" fontId="20" fillId="0" borderId="0" xfId="7"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20" fillId="0" borderId="0" xfId="7" applyFont="1" applyFill="1" applyBorder="1" applyAlignment="1">
      <alignment horizontal="left" vertical="center"/>
    </xf>
    <xf numFmtId="4" fontId="16" fillId="0" borderId="0" xfId="7" applyNumberFormat="1" applyFont="1" applyFill="1" applyBorder="1" applyAlignment="1">
      <alignment horizontal="center" wrapText="1"/>
    </xf>
    <xf numFmtId="4" fontId="16" fillId="0" borderId="0" xfId="7" applyNumberFormat="1" applyFont="1" applyFill="1" applyBorder="1" applyAlignment="1">
      <alignment horizontal="center"/>
    </xf>
    <xf numFmtId="4" fontId="20" fillId="0" borderId="0" xfId="7" applyNumberFormat="1" applyFont="1" applyFill="1" applyBorder="1" applyAlignment="1">
      <alignment vertical="center" wrapText="1"/>
    </xf>
    <xf numFmtId="0" fontId="20" fillId="0" borderId="0" xfId="7" applyFont="1" applyFill="1" applyBorder="1" applyAlignment="1">
      <alignment vertical="center" wrapText="1"/>
    </xf>
    <xf numFmtId="0" fontId="23" fillId="0" borderId="24" xfId="8" applyFont="1" applyFill="1" applyBorder="1" applyAlignment="1">
      <alignment horizontal="left"/>
    </xf>
    <xf numFmtId="0" fontId="23" fillId="0" borderId="0" xfId="8" applyFont="1" applyFill="1" applyBorder="1" applyAlignment="1">
      <alignment horizontal="left"/>
    </xf>
    <xf numFmtId="0" fontId="20" fillId="0" borderId="0" xfId="7" applyFont="1" applyFill="1" applyBorder="1" applyAlignment="1">
      <alignment horizontal="center" vertical="center" wrapText="1"/>
    </xf>
    <xf numFmtId="0" fontId="20" fillId="0" borderId="24" xfId="8" applyFont="1" applyFill="1" applyBorder="1" applyAlignment="1">
      <alignment horizontal="left"/>
    </xf>
    <xf numFmtId="11" fontId="20" fillId="0" borderId="0" xfId="7" applyNumberFormat="1" applyFont="1" applyFill="1" applyBorder="1" applyAlignment="1">
      <alignment horizontal="center" vertical="center"/>
    </xf>
    <xf numFmtId="11" fontId="20" fillId="0" borderId="0" xfId="7" applyNumberFormat="1" applyFont="1" applyFill="1" applyBorder="1" applyAlignment="1">
      <alignment horizontal="center" vertical="center" wrapText="1"/>
    </xf>
    <xf numFmtId="11" fontId="23" fillId="0" borderId="0" xfId="8" applyNumberFormat="1" applyFont="1" applyFill="1" applyBorder="1" applyAlignment="1">
      <alignment horizontal="left"/>
    </xf>
    <xf numFmtId="11" fontId="16" fillId="0" borderId="0" xfId="7" applyNumberFormat="1" applyFont="1" applyFill="1" applyBorder="1" applyAlignment="1">
      <alignment horizontal="center" wrapText="1"/>
    </xf>
    <xf numFmtId="0" fontId="20" fillId="0" borderId="24" xfId="8" applyFont="1" applyFill="1" applyBorder="1"/>
    <xf numFmtId="0" fontId="20" fillId="0" borderId="0" xfId="8" applyFont="1" applyFill="1" applyBorder="1"/>
    <xf numFmtId="4" fontId="20" fillId="0" borderId="0" xfId="8" applyNumberFormat="1" applyFont="1" applyFill="1" applyBorder="1" applyAlignment="1">
      <alignment horizontal="center"/>
    </xf>
    <xf numFmtId="4" fontId="20" fillId="0" borderId="0" xfId="9" applyNumberFormat="1" applyFont="1" applyFill="1" applyBorder="1" applyAlignment="1">
      <alignment horizontal="center"/>
    </xf>
    <xf numFmtId="0" fontId="20" fillId="0" borderId="24" xfId="8" applyFont="1" applyFill="1" applyBorder="1" applyAlignment="1">
      <alignment vertical="center"/>
    </xf>
    <xf numFmtId="3" fontId="20" fillId="0" borderId="0" xfId="9" applyNumberFormat="1" applyFont="1" applyFill="1" applyBorder="1" applyAlignment="1">
      <alignment horizontal="center" vertical="center"/>
    </xf>
    <xf numFmtId="3" fontId="20" fillId="0" borderId="0" xfId="7" applyNumberFormat="1" applyFont="1" applyFill="1" applyBorder="1" applyAlignment="1">
      <alignment horizontal="center" vertical="center" wrapText="1"/>
    </xf>
    <xf numFmtId="3" fontId="20" fillId="0" borderId="0" xfId="8" applyNumberFormat="1" applyFont="1" applyFill="1" applyBorder="1" applyAlignment="1">
      <alignment horizontal="center" vertical="center"/>
    </xf>
    <xf numFmtId="4" fontId="20" fillId="0" borderId="0" xfId="9" quotePrefix="1" applyNumberFormat="1" applyFont="1" applyFill="1" applyBorder="1" applyAlignment="1">
      <alignment horizontal="center" vertical="center"/>
    </xf>
    <xf numFmtId="0" fontId="16" fillId="0" borderId="0" xfId="7" quotePrefix="1" applyFont="1" applyFill="1" applyBorder="1" applyAlignment="1">
      <alignment horizontal="center" vertical="center"/>
    </xf>
    <xf numFmtId="0" fontId="16" fillId="0" borderId="5" xfId="7" applyFont="1" applyFill="1" applyBorder="1" applyAlignment="1">
      <alignment vertical="center"/>
    </xf>
    <xf numFmtId="0" fontId="16" fillId="0" borderId="5" xfId="7" applyFont="1" applyFill="1" applyBorder="1" applyAlignment="1">
      <alignment horizontal="center" vertical="center" wrapText="1"/>
    </xf>
    <xf numFmtId="0" fontId="16" fillId="0" borderId="5" xfId="7" applyFont="1" applyFill="1" applyBorder="1" applyAlignment="1">
      <alignment horizontal="center" vertical="center"/>
    </xf>
    <xf numFmtId="1" fontId="16" fillId="0" borderId="0" xfId="7" applyNumberFormat="1" applyFont="1" applyFill="1" applyAlignment="1">
      <alignment horizontal="left" vertical="center"/>
    </xf>
    <xf numFmtId="2" fontId="16" fillId="0" borderId="0" xfId="0" applyNumberFormat="1" applyFont="1" applyFill="1" applyBorder="1" applyAlignment="1">
      <alignment horizontal="center" vertical="center"/>
    </xf>
    <xf numFmtId="0" fontId="16" fillId="0" borderId="4" xfId="0" applyFont="1" applyFill="1" applyBorder="1" applyAlignment="1">
      <alignment vertical="center"/>
    </xf>
    <xf numFmtId="11" fontId="16" fillId="0" borderId="0" xfId="0" applyNumberFormat="1" applyFont="1" applyFill="1" applyBorder="1" applyAlignment="1">
      <alignment horizontal="center" vertical="center"/>
    </xf>
    <xf numFmtId="0" fontId="9" fillId="0" borderId="25" xfId="7" applyFont="1" applyBorder="1"/>
    <xf numFmtId="0" fontId="9" fillId="0" borderId="5" xfId="7" applyFont="1" applyBorder="1"/>
    <xf numFmtId="0" fontId="13" fillId="0" borderId="0" xfId="4" applyFont="1" applyFill="1"/>
    <xf numFmtId="0" fontId="10" fillId="0" borderId="0" xfId="4" applyFont="1" applyFill="1"/>
    <xf numFmtId="0" fontId="17" fillId="0" borderId="0" xfId="7" applyFont="1" applyFill="1" applyAlignment="1">
      <alignment horizontal="right"/>
    </xf>
    <xf numFmtId="0" fontId="16" fillId="0" borderId="0" xfId="7" applyFont="1" applyFill="1" applyBorder="1"/>
    <xf numFmtId="2" fontId="20" fillId="0" borderId="0" xfId="7" applyNumberFormat="1" applyFont="1" applyFill="1" applyBorder="1" applyAlignment="1">
      <alignment horizontal="center" vertical="center" wrapText="1"/>
    </xf>
    <xf numFmtId="0" fontId="9" fillId="0" borderId="0" xfId="0" applyFont="1"/>
    <xf numFmtId="0" fontId="9" fillId="0" borderId="0" xfId="0" applyFont="1" applyFill="1"/>
    <xf numFmtId="0" fontId="28" fillId="0" borderId="0" xfId="0" applyFont="1"/>
    <xf numFmtId="0" fontId="9" fillId="0" borderId="0" xfId="0" applyFont="1" applyBorder="1"/>
    <xf numFmtId="2" fontId="9" fillId="0" borderId="0" xfId="0" applyNumberFormat="1" applyFont="1" applyFill="1" applyBorder="1" applyAlignment="1">
      <alignment horizontal="center"/>
    </xf>
    <xf numFmtId="0" fontId="9" fillId="0" borderId="0" xfId="0" applyFont="1" applyFill="1" applyBorder="1" applyAlignment="1">
      <alignment horizontal="center"/>
    </xf>
    <xf numFmtId="2" fontId="9" fillId="0" borderId="0" xfId="0" applyNumberFormat="1" applyFont="1" applyBorder="1" applyAlignment="1">
      <alignment horizontal="center"/>
    </xf>
    <xf numFmtId="0" fontId="9" fillId="0" borderId="0" xfId="0" applyFont="1" applyBorder="1" applyAlignment="1">
      <alignment horizontal="center"/>
    </xf>
    <xf numFmtId="0" fontId="29" fillId="0" borderId="6" xfId="0" applyFont="1" applyBorder="1" applyAlignment="1">
      <alignment horizontal="center"/>
    </xf>
    <xf numFmtId="0" fontId="29" fillId="0" borderId="16" xfId="0" applyFont="1" applyBorder="1" applyAlignment="1">
      <alignment horizontal="center"/>
    </xf>
    <xf numFmtId="0" fontId="29" fillId="0" borderId="4" xfId="0" applyFont="1" applyBorder="1" applyAlignment="1">
      <alignment horizontal="center"/>
    </xf>
    <xf numFmtId="0" fontId="9" fillId="0" borderId="7" xfId="0" applyFont="1" applyBorder="1" applyAlignment="1">
      <alignment horizontal="center"/>
    </xf>
    <xf numFmtId="4" fontId="9" fillId="0" borderId="0" xfId="0" applyNumberFormat="1" applyFont="1"/>
    <xf numFmtId="0" fontId="9" fillId="0" borderId="17" xfId="0" applyFont="1" applyBorder="1" applyAlignment="1">
      <alignment horizontal="center"/>
    </xf>
    <xf numFmtId="0" fontId="9" fillId="0" borderId="25" xfId="0" applyFont="1" applyBorder="1"/>
    <xf numFmtId="0" fontId="9" fillId="0" borderId="6" xfId="0" applyFont="1" applyBorder="1"/>
    <xf numFmtId="0" fontId="10" fillId="0" borderId="0" xfId="7" applyFont="1" applyAlignment="1">
      <alignment horizontal="left"/>
    </xf>
    <xf numFmtId="0" fontId="10" fillId="0" borderId="0" xfId="2" applyFont="1" applyAlignment="1">
      <alignment horizontal="left"/>
    </xf>
    <xf numFmtId="0" fontId="10" fillId="0" borderId="0" xfId="4" applyFont="1" applyFill="1" applyAlignment="1">
      <alignment horizontal="left"/>
    </xf>
    <xf numFmtId="0" fontId="15" fillId="0" borderId="0" xfId="7" applyFont="1" applyFill="1" applyAlignment="1">
      <alignment horizontal="left"/>
    </xf>
    <xf numFmtId="0" fontId="10" fillId="0" borderId="0" xfId="7" applyFont="1" applyFill="1" applyAlignment="1">
      <alignment horizontal="left"/>
    </xf>
    <xf numFmtId="0" fontId="10" fillId="0" borderId="2" xfId="7" applyFont="1" applyFill="1" applyBorder="1"/>
    <xf numFmtId="0" fontId="10" fillId="0" borderId="0" xfId="0" applyFont="1" applyAlignment="1">
      <alignment horizontal="left"/>
    </xf>
    <xf numFmtId="0" fontId="29" fillId="0" borderId="0" xfId="0" applyFont="1" applyAlignment="1">
      <alignment horizontal="center"/>
    </xf>
    <xf numFmtId="0" fontId="29" fillId="0" borderId="0" xfId="0" applyFont="1"/>
    <xf numFmtId="0" fontId="33" fillId="0" borderId="25" xfId="0" applyFont="1" applyBorder="1"/>
    <xf numFmtId="0" fontId="33" fillId="0" borderId="17" xfId="0" applyFont="1" applyBorder="1"/>
    <xf numFmtId="0" fontId="33" fillId="0" borderId="5" xfId="0" applyFont="1" applyBorder="1"/>
    <xf numFmtId="0" fontId="33" fillId="0" borderId="6" xfId="0" applyFont="1" applyBorder="1"/>
    <xf numFmtId="0" fontId="33" fillId="0" borderId="1" xfId="0" applyFont="1" applyBorder="1" applyAlignment="1">
      <alignment horizontal="center"/>
    </xf>
    <xf numFmtId="0" fontId="33" fillId="0" borderId="16" xfId="0" applyFont="1" applyBorder="1" applyAlignment="1">
      <alignment horizontal="center"/>
    </xf>
    <xf numFmtId="0" fontId="33" fillId="0" borderId="24" xfId="0" quotePrefix="1" applyFont="1" applyBorder="1" applyAlignment="1">
      <alignment horizontal="center"/>
    </xf>
    <xf numFmtId="0" fontId="33" fillId="0" borderId="7" xfId="0" applyFont="1" applyBorder="1" applyAlignment="1">
      <alignment horizontal="center"/>
    </xf>
    <xf numFmtId="0" fontId="9" fillId="0" borderId="0" xfId="0" applyFont="1" applyAlignment="1">
      <alignment horizontal="center"/>
    </xf>
    <xf numFmtId="0" fontId="33" fillId="0" borderId="24" xfId="0" applyFont="1" applyBorder="1" applyAlignment="1">
      <alignment horizontal="center"/>
    </xf>
    <xf numFmtId="0" fontId="33" fillId="0" borderId="2" xfId="0" applyFont="1" applyBorder="1" applyAlignment="1">
      <alignment horizontal="center"/>
    </xf>
    <xf numFmtId="3" fontId="33" fillId="0" borderId="3" xfId="0" applyNumberFormat="1" applyFont="1" applyBorder="1" applyAlignment="1">
      <alignment horizontal="center"/>
    </xf>
    <xf numFmtId="0" fontId="9" fillId="0" borderId="25"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2"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center"/>
    </xf>
    <xf numFmtId="0" fontId="9" fillId="0" borderId="0" xfId="0" applyFont="1" applyAlignment="1">
      <alignment horizontal="left" vertical="center"/>
    </xf>
    <xf numFmtId="0" fontId="29" fillId="0" borderId="0" xfId="0" applyFont="1" applyAlignment="1">
      <alignment horizontal="left" vertical="center"/>
    </xf>
    <xf numFmtId="0" fontId="29" fillId="0" borderId="0" xfId="0" quotePrefix="1" applyFont="1" applyAlignment="1">
      <alignment horizontal="left" vertical="center"/>
    </xf>
    <xf numFmtId="0" fontId="29" fillId="0" borderId="0" xfId="0" applyFont="1" applyFill="1" applyAlignment="1">
      <alignment horizontal="left" vertical="center"/>
    </xf>
    <xf numFmtId="1" fontId="9" fillId="0" borderId="0" xfId="0" applyNumberFormat="1" applyFont="1" applyFill="1" applyAlignment="1">
      <alignment horizontal="left" vertical="center"/>
    </xf>
    <xf numFmtId="0" fontId="9" fillId="0" borderId="0" xfId="0" applyFont="1" applyFill="1" applyAlignment="1">
      <alignment horizontal="left"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vertical="center"/>
    </xf>
    <xf numFmtId="0" fontId="17" fillId="0" borderId="24"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7" fillId="0" borderId="4" xfId="0" applyFont="1" applyFill="1" applyBorder="1" applyAlignment="1">
      <alignment horizontal="center" vertical="center"/>
    </xf>
    <xf numFmtId="0" fontId="16" fillId="0" borderId="24"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wrapText="1"/>
    </xf>
    <xf numFmtId="0" fontId="18" fillId="0" borderId="24"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horizontal="center" vertical="center" wrapText="1"/>
    </xf>
    <xf numFmtId="43" fontId="16" fillId="0" borderId="0" xfId="0" applyNumberFormat="1" applyFont="1" applyFill="1" applyBorder="1" applyAlignment="1">
      <alignment horizontal="center" vertical="center"/>
    </xf>
    <xf numFmtId="0" fontId="20" fillId="0" borderId="24" xfId="0" applyFont="1" applyFill="1" applyBorder="1" applyAlignment="1">
      <alignment horizontal="left" vertical="center"/>
    </xf>
    <xf numFmtId="2" fontId="20" fillId="0" borderId="0" xfId="0" applyNumberFormat="1" applyFont="1" applyFill="1" applyBorder="1" applyAlignment="1">
      <alignment horizontal="center" vertical="center"/>
    </xf>
    <xf numFmtId="0" fontId="20" fillId="0" borderId="4" xfId="0" applyFont="1" applyFill="1" applyBorder="1" applyAlignment="1">
      <alignment vertical="center"/>
    </xf>
    <xf numFmtId="0" fontId="9" fillId="0" borderId="24" xfId="0" applyFont="1" applyFill="1" applyBorder="1"/>
    <xf numFmtId="0" fontId="9" fillId="0" borderId="0" xfId="0" applyFont="1" applyFill="1" applyBorder="1"/>
    <xf numFmtId="0" fontId="9" fillId="0" borderId="4" xfId="0" applyFont="1" applyFill="1" applyBorder="1"/>
    <xf numFmtId="0" fontId="16" fillId="0" borderId="0" xfId="7" applyFont="1" applyAlignment="1">
      <alignment vertical="center"/>
    </xf>
    <xf numFmtId="0" fontId="29" fillId="0" borderId="0" xfId="0" applyFont="1" applyFill="1"/>
    <xf numFmtId="1" fontId="9" fillId="0" borderId="0" xfId="0" applyNumberFormat="1" applyFont="1" applyFill="1" applyAlignment="1">
      <alignment horizontal="center"/>
    </xf>
    <xf numFmtId="164" fontId="16" fillId="0" borderId="0" xfId="0" applyNumberFormat="1" applyFont="1" applyFill="1" applyBorder="1" applyAlignment="1">
      <alignment horizontal="center" vertical="center"/>
    </xf>
    <xf numFmtId="0" fontId="9" fillId="0" borderId="25" xfId="0" applyFont="1" applyFill="1" applyBorder="1"/>
    <xf numFmtId="0" fontId="9" fillId="0" borderId="5" xfId="0" applyFont="1" applyFill="1" applyBorder="1"/>
    <xf numFmtId="0" fontId="9" fillId="0" borderId="5" xfId="0" applyFont="1" applyBorder="1"/>
    <xf numFmtId="0" fontId="9" fillId="0" borderId="6" xfId="0" applyFont="1" applyFill="1" applyBorder="1"/>
    <xf numFmtId="0" fontId="16" fillId="0" borderId="0" xfId="7" applyFont="1" applyFill="1" applyAlignment="1">
      <alignment horizontal="left"/>
    </xf>
    <xf numFmtId="3" fontId="16" fillId="0" borderId="0" xfId="7" applyNumberFormat="1" applyFont="1" applyFill="1" applyAlignment="1">
      <alignment horizontal="center" wrapText="1"/>
    </xf>
    <xf numFmtId="0" fontId="10" fillId="0" borderId="0" xfId="0" applyFont="1" applyFill="1"/>
    <xf numFmtId="3" fontId="9" fillId="0" borderId="0" xfId="0" applyNumberFormat="1" applyFont="1" applyFill="1" applyAlignment="1">
      <alignment horizontal="left" vertical="center"/>
    </xf>
    <xf numFmtId="0" fontId="9" fillId="0" borderId="0" xfId="0" applyFont="1" applyAlignment="1">
      <alignment vertical="center"/>
    </xf>
    <xf numFmtId="0" fontId="11" fillId="0" borderId="0" xfId="2" applyFont="1" applyAlignment="1">
      <alignment vertical="center"/>
    </xf>
    <xf numFmtId="0" fontId="9" fillId="0" borderId="0" xfId="2" applyFont="1" applyAlignment="1">
      <alignment vertical="center"/>
    </xf>
    <xf numFmtId="0" fontId="13" fillId="0" borderId="0" xfId="4" applyFont="1" applyAlignment="1">
      <alignment vertical="center"/>
    </xf>
    <xf numFmtId="0" fontId="14" fillId="0" borderId="0" xfId="4" applyFont="1" applyAlignment="1">
      <alignment vertical="center"/>
    </xf>
    <xf numFmtId="0" fontId="9" fillId="0" borderId="0" xfId="0" applyFont="1" applyFill="1" applyAlignment="1">
      <alignment vertical="center"/>
    </xf>
    <xf numFmtId="3" fontId="16" fillId="0" borderId="0" xfId="7" applyNumberFormat="1" applyFont="1" applyFill="1" applyAlignment="1">
      <alignment horizontal="center" vertical="center" wrapText="1"/>
    </xf>
    <xf numFmtId="0" fontId="9" fillId="0" borderId="24" xfId="0" applyFont="1" applyFill="1" applyBorder="1" applyAlignment="1">
      <alignment vertical="center"/>
    </xf>
    <xf numFmtId="0" fontId="16" fillId="0" borderId="0" xfId="7" applyFont="1" applyFill="1" applyAlignment="1">
      <alignment horizontal="center" vertical="center"/>
    </xf>
    <xf numFmtId="2" fontId="20" fillId="0" borderId="5" xfId="7" applyNumberFormat="1" applyFont="1" applyFill="1" applyBorder="1" applyAlignment="1">
      <alignment horizontal="center" vertical="center"/>
    </xf>
    <xf numFmtId="0" fontId="16" fillId="0" borderId="0" xfId="7" applyFont="1" applyFill="1" applyBorder="1" applyAlignment="1">
      <alignment horizontal="center" wrapText="1"/>
    </xf>
    <xf numFmtId="0" fontId="11" fillId="0" borderId="0" xfId="2" applyFont="1" applyFill="1"/>
    <xf numFmtId="3" fontId="16" fillId="0" borderId="0" xfId="7" applyNumberFormat="1" applyFont="1" applyFill="1" applyAlignment="1">
      <alignment horizontal="left" vertical="center"/>
    </xf>
    <xf numFmtId="9" fontId="16" fillId="0" borderId="0" xfId="11" applyFont="1" applyFill="1" applyAlignment="1">
      <alignment horizontal="left" vertical="center" wrapText="1"/>
    </xf>
    <xf numFmtId="0" fontId="35" fillId="0" borderId="0" xfId="7" applyFont="1" applyFill="1"/>
    <xf numFmtId="4" fontId="16" fillId="0" borderId="0" xfId="0" applyNumberFormat="1" applyFont="1" applyFill="1" applyBorder="1" applyAlignment="1">
      <alignment horizontal="center" vertical="center"/>
    </xf>
    <xf numFmtId="0" fontId="9" fillId="0" borderId="24" xfId="0" applyFont="1" applyBorder="1"/>
    <xf numFmtId="0" fontId="9" fillId="0" borderId="4" xfId="0" applyFont="1" applyBorder="1"/>
    <xf numFmtId="168" fontId="16" fillId="0" borderId="0" xfId="0" applyNumberFormat="1" applyFont="1" applyFill="1" applyBorder="1" applyAlignment="1">
      <alignment horizontal="center" vertical="center"/>
    </xf>
    <xf numFmtId="0" fontId="28" fillId="0" borderId="0" xfId="0" applyFont="1" applyFill="1"/>
    <xf numFmtId="0" fontId="9" fillId="0" borderId="0" xfId="0" applyFont="1" applyFill="1" applyAlignment="1">
      <alignment horizontal="center" vertical="center"/>
    </xf>
    <xf numFmtId="0" fontId="38" fillId="0" borderId="0" xfId="0" applyFont="1" applyFill="1"/>
    <xf numFmtId="0" fontId="12" fillId="0" borderId="0" xfId="2" applyFont="1" applyFill="1" applyAlignment="1">
      <alignment horizontal="left"/>
    </xf>
    <xf numFmtId="0" fontId="29" fillId="0" borderId="0" xfId="2" applyFont="1" applyFill="1"/>
    <xf numFmtId="0" fontId="16" fillId="0" borderId="1" xfId="0" applyFont="1" applyFill="1" applyBorder="1"/>
    <xf numFmtId="0" fontId="16" fillId="0" borderId="14" xfId="0" applyFont="1" applyFill="1" applyBorder="1"/>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1" fontId="16" fillId="0" borderId="26" xfId="0" applyNumberFormat="1" applyFont="1" applyFill="1" applyBorder="1" applyAlignment="1">
      <alignment horizontal="center" vertical="center"/>
    </xf>
    <xf numFmtId="1" fontId="16" fillId="0" borderId="3" xfId="0" applyNumberFormat="1" applyFont="1" applyFill="1" applyBorder="1" applyAlignment="1">
      <alignment horizontal="center" vertical="center"/>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6" fillId="0" borderId="25" xfId="0" applyFont="1" applyFill="1" applyBorder="1"/>
    <xf numFmtId="0" fontId="16" fillId="0" borderId="13" xfId="0" applyFont="1" applyFill="1" applyBorder="1"/>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1" fontId="16" fillId="0" borderId="29" xfId="0" applyNumberFormat="1" applyFont="1" applyFill="1" applyBorder="1" applyAlignment="1">
      <alignment horizontal="center" vertical="center"/>
    </xf>
    <xf numFmtId="1" fontId="16" fillId="0" borderId="6" xfId="0" applyNumberFormat="1" applyFont="1" applyFill="1" applyBorder="1" applyAlignment="1">
      <alignment horizontal="center" vertical="center"/>
    </xf>
    <xf numFmtId="0" fontId="16" fillId="0" borderId="24" xfId="0" applyFont="1" applyFill="1" applyBorder="1"/>
    <xf numFmtId="0" fontId="16" fillId="0" borderId="12" xfId="0" applyFont="1" applyFill="1" applyBorder="1"/>
    <xf numFmtId="0" fontId="17" fillId="0" borderId="28" xfId="0" applyFont="1" applyFill="1" applyBorder="1" applyAlignment="1">
      <alignment horizontal="center" vertical="center" wrapText="1"/>
    </xf>
    <xf numFmtId="0" fontId="16" fillId="0" borderId="15" xfId="0" applyFont="1" applyFill="1" applyBorder="1" applyAlignment="1">
      <alignment horizontal="center" vertical="center"/>
    </xf>
    <xf numFmtId="1" fontId="16" fillId="0" borderId="28" xfId="0" applyNumberFormat="1" applyFont="1" applyFill="1" applyBorder="1" applyAlignment="1">
      <alignment horizontal="center" vertical="center"/>
    </xf>
    <xf numFmtId="1" fontId="16" fillId="0" borderId="4" xfId="0" applyNumberFormat="1" applyFont="1" applyFill="1" applyBorder="1" applyAlignment="1">
      <alignment horizontal="center" vertical="center"/>
    </xf>
    <xf numFmtId="0" fontId="16" fillId="0" borderId="24" xfId="0" quotePrefix="1" applyFont="1" applyFill="1" applyBorder="1" applyAlignment="1">
      <alignment horizontal="center"/>
    </xf>
    <xf numFmtId="3" fontId="16" fillId="0" borderId="28" xfId="0" applyNumberFormat="1" applyFont="1" applyFill="1" applyBorder="1" applyAlignment="1">
      <alignment horizontal="center" vertical="center" wrapText="1"/>
    </xf>
    <xf numFmtId="3" fontId="16" fillId="0" borderId="28" xfId="0" applyNumberFormat="1" applyFont="1" applyFill="1" applyBorder="1" applyAlignment="1">
      <alignment horizontal="center" vertical="center"/>
    </xf>
    <xf numFmtId="0" fontId="9" fillId="0" borderId="24" xfId="0" applyFont="1" applyFill="1" applyBorder="1" applyAlignment="1">
      <alignment horizontal="center"/>
    </xf>
    <xf numFmtId="0" fontId="9" fillId="0" borderId="12" xfId="0" applyFont="1" applyFill="1" applyBorder="1"/>
    <xf numFmtId="3" fontId="16" fillId="0" borderId="28" xfId="0" quotePrefix="1" applyNumberFormat="1" applyFont="1" applyFill="1" applyBorder="1" applyAlignment="1">
      <alignment horizontal="center" vertical="center"/>
    </xf>
    <xf numFmtId="0" fontId="9" fillId="0" borderId="24" xfId="0" quotePrefix="1" applyFont="1" applyFill="1" applyBorder="1" applyAlignment="1">
      <alignment horizontal="center"/>
    </xf>
    <xf numFmtId="0" fontId="16" fillId="0" borderId="24" xfId="0" applyFont="1" applyFill="1" applyBorder="1" applyAlignment="1">
      <alignment horizontal="center"/>
    </xf>
    <xf numFmtId="3" fontId="16" fillId="0" borderId="28" xfId="5" quotePrefix="1" applyNumberFormat="1" applyFont="1" applyFill="1" applyBorder="1" applyAlignment="1">
      <alignment horizontal="center" vertical="center"/>
    </xf>
    <xf numFmtId="0" fontId="16" fillId="0" borderId="24" xfId="0" applyFont="1" applyFill="1" applyBorder="1" applyAlignment="1">
      <alignment horizontal="center" vertical="top" wrapText="1"/>
    </xf>
    <xf numFmtId="0" fontId="16" fillId="0" borderId="12" xfId="0" applyFont="1" applyFill="1" applyBorder="1" applyAlignment="1">
      <alignment horizontal="left" vertical="top"/>
    </xf>
    <xf numFmtId="44" fontId="16" fillId="0" borderId="15" xfId="10" applyFont="1" applyFill="1" applyBorder="1" applyAlignment="1">
      <alignment horizontal="center" vertical="center"/>
    </xf>
    <xf numFmtId="0" fontId="16" fillId="0" borderId="24" xfId="0" applyFont="1" applyFill="1" applyBorder="1" applyAlignment="1">
      <alignment horizontal="center" vertical="top"/>
    </xf>
    <xf numFmtId="0" fontId="16" fillId="0" borderId="24" xfId="0" applyFont="1" applyFill="1" applyBorder="1" applyAlignment="1">
      <alignment horizontal="center" vertical="center" wrapText="1"/>
    </xf>
    <xf numFmtId="0" fontId="16" fillId="0" borderId="12" xfId="0" applyFont="1" applyFill="1" applyBorder="1" applyAlignment="1">
      <alignment vertical="center"/>
    </xf>
    <xf numFmtId="0" fontId="16" fillId="0" borderId="15" xfId="0" quotePrefix="1" applyFont="1" applyFill="1" applyBorder="1" applyAlignment="1">
      <alignment horizontal="center" vertical="center"/>
    </xf>
    <xf numFmtId="3" fontId="16" fillId="0" borderId="28" xfId="5" applyNumberFormat="1" applyFont="1" applyFill="1" applyBorder="1" applyAlignment="1">
      <alignment horizontal="center" vertical="center"/>
    </xf>
    <xf numFmtId="0" fontId="16" fillId="0" borderId="12" xfId="0" applyFont="1" applyFill="1" applyBorder="1" applyAlignment="1">
      <alignment horizontal="left"/>
    </xf>
    <xf numFmtId="3" fontId="20" fillId="0" borderId="28" xfId="5" applyNumberFormat="1" applyFont="1" applyFill="1" applyBorder="1" applyAlignment="1">
      <alignment horizontal="center" vertical="center"/>
    </xf>
    <xf numFmtId="0" fontId="16" fillId="0" borderId="4" xfId="0" applyFont="1" applyFill="1" applyBorder="1" applyAlignment="1">
      <alignment horizontal="center" vertical="center"/>
    </xf>
    <xf numFmtId="0" fontId="16" fillId="0" borderId="10" xfId="0" applyFont="1" applyFill="1" applyBorder="1" applyAlignment="1">
      <alignment horizontal="left"/>
    </xf>
    <xf numFmtId="0" fontId="16" fillId="0" borderId="13" xfId="0" applyFont="1" applyFill="1" applyBorder="1" applyAlignment="1">
      <alignment horizontal="left"/>
    </xf>
    <xf numFmtId="0" fontId="16" fillId="0" borderId="14" xfId="0" applyFont="1" applyFill="1" applyBorder="1" applyAlignment="1">
      <alignment horizontal="center" vertical="center"/>
    </xf>
    <xf numFmtId="0" fontId="17" fillId="0" borderId="15"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4" xfId="0" applyFont="1" applyFill="1" applyBorder="1" applyAlignment="1">
      <alignment horizontal="center" vertical="center"/>
    </xf>
    <xf numFmtId="3" fontId="9" fillId="0" borderId="0" xfId="0" applyNumberFormat="1" applyFont="1" applyFill="1" applyBorder="1" applyAlignment="1">
      <alignment horizontal="center" vertical="center"/>
    </xf>
    <xf numFmtId="0" fontId="9" fillId="0" borderId="25" xfId="0" applyFont="1" applyFill="1" applyBorder="1" applyAlignment="1">
      <alignment horizontal="center"/>
    </xf>
    <xf numFmtId="0" fontId="9" fillId="0" borderId="13" xfId="0" applyFont="1" applyFill="1" applyBorder="1"/>
    <xf numFmtId="0" fontId="9" fillId="0" borderId="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0" xfId="0" applyFont="1" applyFill="1" applyBorder="1" applyAlignment="1">
      <alignment horizontal="left"/>
    </xf>
    <xf numFmtId="0" fontId="16" fillId="0" borderId="3" xfId="0" applyFont="1" applyFill="1" applyBorder="1" applyAlignment="1">
      <alignment horizontal="center" vertical="center"/>
    </xf>
    <xf numFmtId="0" fontId="17" fillId="0" borderId="4" xfId="0" applyFont="1" applyFill="1" applyBorder="1" applyAlignment="1">
      <alignment horizontal="center" vertical="center" wrapText="1"/>
    </xf>
    <xf numFmtId="0" fontId="16" fillId="0" borderId="6" xfId="0" applyFont="1" applyFill="1" applyBorder="1" applyAlignment="1">
      <alignment horizontal="center" vertical="center"/>
    </xf>
    <xf numFmtId="0" fontId="9" fillId="0" borderId="12" xfId="0" applyFont="1" applyFill="1" applyBorder="1" applyAlignment="1">
      <alignment vertical="center"/>
    </xf>
    <xf numFmtId="0" fontId="9" fillId="0" borderId="28" xfId="0" applyFont="1" applyFill="1" applyBorder="1" applyAlignment="1">
      <alignment horizontal="left" vertical="center"/>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166" fontId="9" fillId="0" borderId="0" xfId="0" applyNumberFormat="1" applyFont="1" applyFill="1" applyBorder="1" applyAlignment="1">
      <alignment horizontal="center" vertical="center"/>
    </xf>
    <xf numFmtId="0" fontId="9" fillId="0" borderId="0" xfId="0" applyFont="1" applyFill="1" applyAlignment="1">
      <alignment horizontal="lef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29" fillId="0" borderId="1" xfId="0" applyFont="1" applyFill="1" applyBorder="1"/>
    <xf numFmtId="0" fontId="9" fillId="0" borderId="23" xfId="0" applyFont="1" applyFill="1" applyBorder="1"/>
    <xf numFmtId="0" fontId="29" fillId="0" borderId="24" xfId="0" applyFont="1" applyFill="1" applyBorder="1" applyAlignment="1">
      <alignment horizontal="center"/>
    </xf>
    <xf numFmtId="0" fontId="29" fillId="0" borderId="22" xfId="0" applyFont="1" applyFill="1" applyBorder="1" applyAlignment="1">
      <alignment horizontal="center"/>
    </xf>
    <xf numFmtId="0" fontId="29" fillId="0" borderId="24" xfId="0" applyFont="1" applyFill="1" applyBorder="1"/>
    <xf numFmtId="0" fontId="9" fillId="0" borderId="22" xfId="0" applyFont="1" applyFill="1" applyBorder="1"/>
    <xf numFmtId="0" fontId="9" fillId="0" borderId="1" xfId="0" applyFont="1" applyFill="1" applyBorder="1" applyAlignment="1">
      <alignment horizontal="center"/>
    </xf>
    <xf numFmtId="0" fontId="9" fillId="0" borderId="23" xfId="0" applyFont="1" applyFill="1" applyBorder="1" applyAlignment="1">
      <alignment horizontal="center"/>
    </xf>
    <xf numFmtId="0" fontId="9" fillId="0" borderId="21" xfId="0" applyFont="1" applyFill="1" applyBorder="1" applyAlignment="1">
      <alignment horizontal="center"/>
    </xf>
    <xf numFmtId="0" fontId="29" fillId="0" borderId="0" xfId="0" applyFont="1" applyFill="1" applyBorder="1" applyAlignment="1">
      <alignment horizontal="center" vertical="center"/>
    </xf>
    <xf numFmtId="0" fontId="9" fillId="0" borderId="22" xfId="0" applyFont="1" applyFill="1" applyBorder="1" applyAlignment="1">
      <alignment horizontal="center"/>
    </xf>
    <xf numFmtId="0" fontId="16" fillId="0" borderId="0" xfId="7" applyFont="1" applyFill="1" applyAlignment="1">
      <alignment horizontal="left" indent="1"/>
    </xf>
    <xf numFmtId="0" fontId="16" fillId="0" borderId="0" xfId="7" applyFont="1" applyFill="1" applyAlignment="1"/>
    <xf numFmtId="14" fontId="12" fillId="0" borderId="0" xfId="2" applyNumberFormat="1" applyFont="1" applyFill="1" applyAlignment="1">
      <alignment horizontal="left"/>
    </xf>
    <xf numFmtId="0" fontId="24" fillId="0" borderId="0" xfId="2" applyFont="1" applyAlignment="1">
      <alignment horizontal="left"/>
    </xf>
    <xf numFmtId="0" fontId="24" fillId="0" borderId="0" xfId="2" applyFont="1" applyAlignment="1">
      <alignment horizontal="left" vertical="center"/>
    </xf>
    <xf numFmtId="14" fontId="24" fillId="0" borderId="0" xfId="2" applyNumberFormat="1" applyFont="1" applyAlignment="1">
      <alignment horizontal="left"/>
    </xf>
    <xf numFmtId="14" fontId="24" fillId="0" borderId="0" xfId="2" applyNumberFormat="1" applyFont="1" applyAlignment="1">
      <alignment horizontal="left" vertical="center"/>
    </xf>
    <xf numFmtId="0" fontId="16" fillId="0" borderId="26" xfId="0" applyFont="1" applyFill="1" applyBorder="1"/>
    <xf numFmtId="0" fontId="16" fillId="0" borderId="29" xfId="0" applyFont="1" applyFill="1" applyBorder="1"/>
    <xf numFmtId="0" fontId="16" fillId="0" borderId="28" xfId="0" applyFont="1" applyFill="1" applyBorder="1"/>
    <xf numFmtId="0" fontId="9" fillId="0" borderId="28" xfId="0" applyFont="1" applyFill="1" applyBorder="1"/>
    <xf numFmtId="0" fontId="16" fillId="0" borderId="28" xfId="0" applyFont="1" applyFill="1" applyBorder="1" applyAlignment="1">
      <alignment horizontal="left" vertical="top"/>
    </xf>
    <xf numFmtId="0" fontId="16" fillId="0" borderId="28" xfId="0" applyFont="1" applyFill="1" applyBorder="1" applyAlignment="1">
      <alignment vertical="center"/>
    </xf>
    <xf numFmtId="0" fontId="16" fillId="0" borderId="28" xfId="0" applyFont="1" applyFill="1" applyBorder="1" applyAlignment="1">
      <alignment horizontal="left"/>
    </xf>
    <xf numFmtId="0" fontId="16" fillId="0" borderId="29" xfId="0" applyFont="1" applyFill="1" applyBorder="1" applyAlignment="1">
      <alignment horizontal="left"/>
    </xf>
    <xf numFmtId="0" fontId="29" fillId="0" borderId="0" xfId="0" applyFont="1" applyFill="1" applyBorder="1" applyAlignment="1">
      <alignment horizontal="center"/>
    </xf>
    <xf numFmtId="0" fontId="16" fillId="0" borderId="28" xfId="0" applyFont="1" applyFill="1" applyBorder="1" applyAlignment="1">
      <alignment horizontal="left" vertical="top" wrapText="1"/>
    </xf>
    <xf numFmtId="0" fontId="16" fillId="0" borderId="28" xfId="0" applyFont="1" applyFill="1" applyBorder="1" applyAlignment="1">
      <alignment vertical="center" wrapText="1"/>
    </xf>
    <xf numFmtId="4" fontId="16" fillId="0" borderId="0" xfId="7" applyNumberFormat="1" applyFont="1" applyFill="1" applyAlignment="1">
      <alignment horizontal="left" vertical="center"/>
    </xf>
    <xf numFmtId="0" fontId="31" fillId="0" borderId="24" xfId="0" applyFont="1" applyBorder="1" applyAlignment="1">
      <alignment horizontal="center"/>
    </xf>
    <xf numFmtId="0" fontId="31" fillId="0" borderId="0" xfId="0" applyFont="1" applyBorder="1" applyAlignment="1">
      <alignment horizontal="center"/>
    </xf>
    <xf numFmtId="0" fontId="31" fillId="0" borderId="4" xfId="0" applyFont="1" applyBorder="1" applyAlignment="1">
      <alignment horizontal="center"/>
    </xf>
    <xf numFmtId="0" fontId="16" fillId="0" borderId="3" xfId="7" applyFont="1" applyFill="1" applyBorder="1" applyAlignment="1">
      <alignment horizontal="left" vertical="center"/>
    </xf>
    <xf numFmtId="0" fontId="16" fillId="0" borderId="6" xfId="7" applyFont="1" applyFill="1" applyBorder="1" applyAlignment="1">
      <alignment horizontal="left" vertical="center"/>
    </xf>
    <xf numFmtId="0" fontId="16" fillId="0" borderId="4" xfId="7" applyFont="1" applyFill="1" applyBorder="1" applyAlignment="1">
      <alignment horizontal="left" vertical="center"/>
    </xf>
    <xf numFmtId="0" fontId="20" fillId="0" borderId="4" xfId="0" applyFont="1" applyFill="1" applyBorder="1" applyAlignment="1">
      <alignment horizontal="left" vertical="center"/>
    </xf>
    <xf numFmtId="0" fontId="20" fillId="0" borderId="4" xfId="0" applyFont="1" applyFill="1" applyBorder="1" applyAlignment="1">
      <alignment horizontal="left" vertical="center" wrapText="1"/>
    </xf>
    <xf numFmtId="0" fontId="9" fillId="0" borderId="6" xfId="7" applyFont="1" applyBorder="1" applyAlignment="1">
      <alignment horizontal="left" vertical="center"/>
    </xf>
    <xf numFmtId="0" fontId="28" fillId="0" borderId="0" xfId="7" applyFont="1"/>
    <xf numFmtId="0" fontId="28" fillId="0" borderId="0" xfId="2" applyFont="1"/>
    <xf numFmtId="0" fontId="28" fillId="0" borderId="0" xfId="4" applyFont="1"/>
    <xf numFmtId="0" fontId="28" fillId="0" borderId="0" xfId="7" applyFont="1" applyFill="1"/>
    <xf numFmtId="0" fontId="10" fillId="0" borderId="0" xfId="7" applyFont="1" applyFill="1" applyAlignment="1">
      <alignment horizontal="center" vertical="center"/>
    </xf>
    <xf numFmtId="0" fontId="42" fillId="0" borderId="0" xfId="7" applyFont="1"/>
    <xf numFmtId="0" fontId="28" fillId="0" borderId="0" xfId="7" applyFont="1" applyAlignment="1">
      <alignment vertical="center"/>
    </xf>
    <xf numFmtId="0" fontId="9" fillId="0" borderId="0" xfId="7" applyFont="1" applyBorder="1"/>
    <xf numFmtId="0" fontId="9" fillId="0" borderId="0" xfId="7" applyFont="1" applyBorder="1" applyAlignment="1">
      <alignment horizontal="left" vertical="center"/>
    </xf>
    <xf numFmtId="0" fontId="9" fillId="0" borderId="4" xfId="7" applyFont="1" applyBorder="1" applyAlignment="1">
      <alignment horizontal="left" vertical="center"/>
    </xf>
    <xf numFmtId="0" fontId="16" fillId="0" borderId="4" xfId="7" applyFont="1" applyFill="1" applyBorder="1" applyAlignment="1">
      <alignment horizontal="left" vertical="center" wrapText="1"/>
    </xf>
    <xf numFmtId="0" fontId="9" fillId="0" borderId="2" xfId="7" applyFont="1" applyBorder="1"/>
    <xf numFmtId="0" fontId="13" fillId="3" borderId="0" xfId="4" applyFont="1" applyFill="1"/>
    <xf numFmtId="0" fontId="14" fillId="3" borderId="0" xfId="4" applyFont="1" applyFill="1"/>
    <xf numFmtId="0" fontId="14" fillId="3" borderId="0" xfId="4" applyFont="1" applyFill="1" applyAlignment="1">
      <alignment horizontal="left" vertical="center"/>
    </xf>
    <xf numFmtId="164" fontId="16" fillId="2" borderId="0" xfId="0" applyNumberFormat="1" applyFont="1" applyFill="1" applyBorder="1" applyAlignment="1">
      <alignment horizontal="center" vertical="center"/>
    </xf>
    <xf numFmtId="9" fontId="9" fillId="2" borderId="0" xfId="0" applyNumberFormat="1" applyFont="1" applyFill="1" applyAlignment="1">
      <alignment horizontal="center" vertical="center"/>
    </xf>
    <xf numFmtId="166" fontId="16" fillId="2" borderId="0" xfId="0" applyNumberFormat="1" applyFont="1" applyFill="1" applyBorder="1" applyAlignment="1">
      <alignment horizontal="center" vertical="center"/>
    </xf>
    <xf numFmtId="1" fontId="16" fillId="2" borderId="0" xfId="0" applyNumberFormat="1" applyFont="1" applyFill="1" applyBorder="1" applyAlignment="1">
      <alignment horizontal="center" vertical="center"/>
    </xf>
    <xf numFmtId="4" fontId="20" fillId="2" borderId="0" xfId="9" applyNumberFormat="1" applyFont="1" applyFill="1" applyBorder="1" applyAlignment="1">
      <alignment horizontal="center" vertical="center"/>
    </xf>
    <xf numFmtId="168" fontId="20" fillId="2" borderId="0" xfId="9" applyNumberFormat="1" applyFont="1" applyFill="1" applyBorder="1" applyAlignment="1">
      <alignment horizontal="center" vertical="center"/>
    </xf>
    <xf numFmtId="170" fontId="20" fillId="2" borderId="0" xfId="9" applyNumberFormat="1" applyFont="1" applyFill="1" applyBorder="1" applyAlignment="1">
      <alignment horizontal="center" vertical="center"/>
    </xf>
    <xf numFmtId="11" fontId="20" fillId="2" borderId="0" xfId="7" applyNumberFormat="1" applyFont="1" applyFill="1" applyBorder="1" applyAlignment="1">
      <alignment horizontal="center" vertical="center" wrapText="1"/>
    </xf>
    <xf numFmtId="11" fontId="20" fillId="2" borderId="0" xfId="9" applyNumberFormat="1" applyFont="1" applyFill="1" applyBorder="1" applyAlignment="1">
      <alignment horizontal="center"/>
    </xf>
    <xf numFmtId="4" fontId="20" fillId="2" borderId="0" xfId="7" applyNumberFormat="1" applyFont="1" applyFill="1" applyBorder="1" applyAlignment="1">
      <alignment horizontal="center" vertical="center" wrapText="1"/>
    </xf>
    <xf numFmtId="0" fontId="13" fillId="3" borderId="0" xfId="4" applyFont="1" applyFill="1" applyBorder="1"/>
    <xf numFmtId="0" fontId="14" fillId="3" borderId="0" xfId="4" applyFont="1" applyFill="1" applyBorder="1"/>
    <xf numFmtId="0" fontId="14" fillId="3" borderId="4" xfId="4" applyFont="1" applyFill="1" applyBorder="1" applyAlignment="1">
      <alignment horizontal="left" vertical="center"/>
    </xf>
    <xf numFmtId="166" fontId="16" fillId="0" borderId="0" xfId="0" quotePrefix="1" applyNumberFormat="1" applyFont="1" applyFill="1" applyBorder="1" applyAlignment="1">
      <alignment horizontal="center" vertical="center"/>
    </xf>
    <xf numFmtId="0" fontId="20" fillId="0" borderId="4" xfId="7" applyFont="1" applyFill="1" applyBorder="1"/>
    <xf numFmtId="2" fontId="16" fillId="2" borderId="0" xfId="0" applyNumberFormat="1" applyFont="1" applyFill="1" applyBorder="1" applyAlignment="1">
      <alignment horizontal="center" vertical="center"/>
    </xf>
    <xf numFmtId="1" fontId="16" fillId="0" borderId="0" xfId="7" applyNumberFormat="1" applyFont="1" applyFill="1" applyAlignment="1">
      <alignment vertical="center"/>
    </xf>
    <xf numFmtId="165" fontId="9" fillId="0" borderId="0" xfId="0" applyNumberFormat="1" applyFont="1" applyFill="1" applyBorder="1" applyAlignment="1">
      <alignment horizontal="center"/>
    </xf>
    <xf numFmtId="165" fontId="9" fillId="2" borderId="0" xfId="0" applyNumberFormat="1" applyFont="1" applyFill="1" applyBorder="1" applyAlignment="1">
      <alignment horizontal="center"/>
    </xf>
    <xf numFmtId="167"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7" fontId="9" fillId="2" borderId="0" xfId="0" applyNumberFormat="1" applyFont="1" applyFill="1" applyBorder="1" applyAlignment="1">
      <alignment horizontal="center"/>
    </xf>
    <xf numFmtId="164" fontId="9" fillId="2" borderId="0" xfId="0" applyNumberFormat="1" applyFont="1" applyFill="1" applyBorder="1" applyAlignment="1">
      <alignment horizontal="center"/>
    </xf>
    <xf numFmtId="169" fontId="16" fillId="0" borderId="0" xfId="0" applyNumberFormat="1" applyFont="1" applyFill="1" applyBorder="1" applyAlignment="1">
      <alignment horizontal="center" vertical="center"/>
    </xf>
    <xf numFmtId="0" fontId="20" fillId="0" borderId="25" xfId="7" applyFont="1" applyFill="1" applyBorder="1" applyAlignment="1">
      <alignment horizontal="left" vertical="center"/>
    </xf>
    <xf numFmtId="11" fontId="20" fillId="0" borderId="5" xfId="7" applyNumberFormat="1" applyFont="1" applyFill="1" applyBorder="1" applyAlignment="1">
      <alignment horizontal="center" vertical="center"/>
    </xf>
    <xf numFmtId="11" fontId="16" fillId="0" borderId="5" xfId="0" applyNumberFormat="1" applyFont="1" applyFill="1" applyBorder="1" applyAlignment="1">
      <alignment horizontal="center" vertical="center"/>
    </xf>
    <xf numFmtId="0" fontId="20" fillId="0" borderId="6" xfId="0" applyFont="1" applyFill="1" applyBorder="1" applyAlignment="1">
      <alignment horizontal="left" vertical="center"/>
    </xf>
    <xf numFmtId="0" fontId="14" fillId="3" borderId="0" xfId="4" applyFont="1" applyFill="1" applyBorder="1" applyAlignment="1">
      <alignment horizontal="left" vertical="center"/>
    </xf>
    <xf numFmtId="0" fontId="43" fillId="0" borderId="0" xfId="7" applyFont="1" applyFill="1"/>
    <xf numFmtId="0" fontId="16" fillId="0" borderId="24" xfId="7" applyFont="1" applyFill="1" applyBorder="1"/>
    <xf numFmtId="2" fontId="9" fillId="0" borderId="0" xfId="0" applyNumberFormat="1" applyFont="1" applyFill="1" applyBorder="1" applyAlignment="1">
      <alignment horizontal="center" vertical="center"/>
    </xf>
    <xf numFmtId="164" fontId="9" fillId="0" borderId="0" xfId="0" applyNumberFormat="1" applyFont="1" applyFill="1" applyAlignment="1">
      <alignment horizontal="center"/>
    </xf>
    <xf numFmtId="0" fontId="16" fillId="0" borderId="4" xfId="7" applyFont="1" applyFill="1" applyBorder="1" applyAlignment="1">
      <alignment horizontal="left"/>
    </xf>
    <xf numFmtId="170" fontId="16" fillId="2" borderId="0" xfId="0" applyNumberFormat="1" applyFont="1" applyFill="1" applyBorder="1" applyAlignment="1">
      <alignment horizontal="center" vertical="center"/>
    </xf>
    <xf numFmtId="3" fontId="16" fillId="0" borderId="0" xfId="7" applyNumberFormat="1" applyFont="1" applyFill="1" applyAlignment="1">
      <alignment vertical="center"/>
    </xf>
    <xf numFmtId="0" fontId="20" fillId="0" borderId="0" xfId="0" applyFont="1"/>
    <xf numFmtId="0" fontId="20" fillId="0" borderId="0" xfId="0" quotePrefix="1" applyFont="1"/>
    <xf numFmtId="2" fontId="9" fillId="0" borderId="0" xfId="0" applyNumberFormat="1" applyFont="1"/>
    <xf numFmtId="0" fontId="29" fillId="0" borderId="0" xfId="0" applyFont="1" applyBorder="1" applyAlignment="1">
      <alignment horizontal="center"/>
    </xf>
    <xf numFmtId="0" fontId="29" fillId="0" borderId="0" xfId="0" applyFont="1" applyBorder="1" applyAlignment="1">
      <alignment horizontal="centerContinuous"/>
    </xf>
    <xf numFmtId="0" fontId="29" fillId="0" borderId="0" xfId="0" applyFont="1" applyBorder="1"/>
    <xf numFmtId="0" fontId="27" fillId="0" borderId="1" xfId="0" applyFont="1" applyBorder="1"/>
    <xf numFmtId="0" fontId="9" fillId="0" borderId="2" xfId="0" applyFont="1" applyBorder="1"/>
    <xf numFmtId="0" fontId="9" fillId="0" borderId="3" xfId="0" applyFont="1" applyBorder="1"/>
    <xf numFmtId="0" fontId="29" fillId="0" borderId="25" xfId="0" applyFont="1" applyBorder="1"/>
    <xf numFmtId="0" fontId="29" fillId="0" borderId="5" xfId="0" applyFont="1" applyBorder="1" applyAlignment="1">
      <alignment horizontal="center"/>
    </xf>
    <xf numFmtId="0" fontId="29" fillId="0" borderId="24" xfId="0" applyFont="1" applyBorder="1"/>
    <xf numFmtId="4" fontId="9" fillId="0" borderId="0" xfId="0" applyNumberFormat="1" applyFont="1" applyBorder="1" applyAlignment="1">
      <alignment horizontal="center"/>
    </xf>
    <xf numFmtId="3" fontId="9" fillId="0" borderId="0" xfId="0" applyNumberFormat="1" applyFont="1" applyBorder="1" applyAlignment="1">
      <alignment horizontal="center"/>
    </xf>
    <xf numFmtId="0" fontId="9" fillId="0" borderId="1" xfId="0" applyFont="1" applyBorder="1"/>
    <xf numFmtId="0" fontId="9" fillId="0" borderId="2" xfId="0" applyFont="1" applyBorder="1" applyAlignment="1">
      <alignment horizontal="center"/>
    </xf>
    <xf numFmtId="2" fontId="9" fillId="0" borderId="2" xfId="0" applyNumberFormat="1" applyFont="1" applyBorder="1" applyAlignment="1">
      <alignment horizontal="center"/>
    </xf>
    <xf numFmtId="4" fontId="9" fillId="0" borderId="2" xfId="0" applyNumberFormat="1" applyFont="1" applyBorder="1" applyAlignment="1">
      <alignment horizontal="center"/>
    </xf>
    <xf numFmtId="3" fontId="9" fillId="0" borderId="2" xfId="0" applyNumberFormat="1" applyFont="1" applyBorder="1" applyAlignment="1">
      <alignment horizontal="center"/>
    </xf>
    <xf numFmtId="2" fontId="9" fillId="0" borderId="3" xfId="0" applyNumberFormat="1" applyFont="1" applyBorder="1" applyAlignment="1">
      <alignment horizontal="center"/>
    </xf>
    <xf numFmtId="2" fontId="9" fillId="0" borderId="4" xfId="0" applyNumberFormat="1" applyFont="1" applyBorder="1" applyAlignment="1">
      <alignment horizontal="center"/>
    </xf>
    <xf numFmtId="2" fontId="9" fillId="0" borderId="5" xfId="0" applyNumberFormat="1" applyFont="1" applyBorder="1" applyAlignment="1">
      <alignment horizontal="center"/>
    </xf>
    <xf numFmtId="4" fontId="9" fillId="0" borderId="5" xfId="0" applyNumberFormat="1" applyFont="1" applyBorder="1" applyAlignment="1">
      <alignment horizontal="center"/>
    </xf>
    <xf numFmtId="3" fontId="9" fillId="0" borderId="5" xfId="0" applyNumberFormat="1" applyFont="1" applyBorder="1" applyAlignment="1">
      <alignment horizontal="center"/>
    </xf>
    <xf numFmtId="2" fontId="9" fillId="0" borderId="6" xfId="0" applyNumberFormat="1" applyFont="1" applyBorder="1" applyAlignment="1">
      <alignment horizontal="center"/>
    </xf>
    <xf numFmtId="0" fontId="27" fillId="0" borderId="5" xfId="0" applyFont="1" applyBorder="1"/>
    <xf numFmtId="3" fontId="28" fillId="0" borderId="0" xfId="0" applyNumberFormat="1" applyFont="1"/>
    <xf numFmtId="1" fontId="28" fillId="0" borderId="0" xfId="0" applyNumberFormat="1" applyFont="1"/>
    <xf numFmtId="2" fontId="9" fillId="2" borderId="2" xfId="0" applyNumberFormat="1" applyFont="1" applyFill="1" applyBorder="1" applyAlignment="1">
      <alignment horizontal="center"/>
    </xf>
    <xf numFmtId="2" fontId="9" fillId="2" borderId="0" xfId="0" applyNumberFormat="1" applyFont="1" applyFill="1" applyBorder="1" applyAlignment="1">
      <alignment horizontal="center"/>
    </xf>
    <xf numFmtId="2" fontId="9" fillId="2" borderId="5" xfId="0" applyNumberFormat="1" applyFont="1" applyFill="1" applyBorder="1" applyAlignment="1">
      <alignment horizontal="center"/>
    </xf>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3" fontId="29" fillId="0" borderId="0" xfId="0" applyNumberFormat="1" applyFont="1" applyBorder="1" applyAlignment="1">
      <alignment horizontal="center"/>
    </xf>
    <xf numFmtId="1" fontId="10" fillId="0" borderId="0" xfId="0" applyNumberFormat="1" applyFont="1"/>
    <xf numFmtId="164" fontId="9" fillId="2" borderId="2" xfId="0" applyNumberFormat="1" applyFont="1" applyFill="1" applyBorder="1" applyAlignment="1">
      <alignment horizontal="center"/>
    </xf>
    <xf numFmtId="164" fontId="9" fillId="0" borderId="3" xfId="0" applyNumberFormat="1" applyFont="1" applyBorder="1" applyAlignment="1">
      <alignment horizontal="center"/>
    </xf>
    <xf numFmtId="164" fontId="9" fillId="0" borderId="4" xfId="0" applyNumberFormat="1" applyFont="1" applyBorder="1" applyAlignment="1">
      <alignment horizontal="center"/>
    </xf>
    <xf numFmtId="164" fontId="9" fillId="2" borderId="5" xfId="0" applyNumberFormat="1" applyFont="1" applyFill="1" applyBorder="1" applyAlignment="1">
      <alignment horizontal="center"/>
    </xf>
    <xf numFmtId="164" fontId="9" fillId="0" borderId="6" xfId="0" applyNumberFormat="1" applyFont="1" applyBorder="1" applyAlignment="1">
      <alignment horizontal="center"/>
    </xf>
    <xf numFmtId="0" fontId="24" fillId="0" borderId="0" xfId="0" applyFont="1" applyBorder="1" applyAlignment="1">
      <alignment horizontal="center"/>
    </xf>
    <xf numFmtId="0" fontId="29" fillId="0" borderId="0" xfId="0" applyFont="1" applyBorder="1" applyAlignment="1">
      <alignment horizontal="center" vertical="center"/>
    </xf>
    <xf numFmtId="0" fontId="12" fillId="0" borderId="0" xfId="0" applyFont="1"/>
    <xf numFmtId="0" fontId="36" fillId="0" borderId="0" xfId="0" applyFont="1" applyAlignment="1">
      <alignment horizontal="left"/>
    </xf>
    <xf numFmtId="0" fontId="45" fillId="0" borderId="0" xfId="0" applyFont="1" applyAlignment="1">
      <alignment horizontal="center"/>
    </xf>
    <xf numFmtId="0" fontId="45" fillId="0" borderId="0" xfId="0" applyFont="1"/>
    <xf numFmtId="0" fontId="33" fillId="0" borderId="0" xfId="0" applyFont="1" applyBorder="1"/>
    <xf numFmtId="2" fontId="33" fillId="0" borderId="0" xfId="0" applyNumberFormat="1" applyFont="1" applyBorder="1"/>
    <xf numFmtId="3" fontId="33" fillId="0" borderId="0" xfId="0" applyNumberFormat="1" applyFont="1" applyBorder="1" applyAlignment="1">
      <alignment horizontal="center"/>
    </xf>
    <xf numFmtId="0" fontId="33" fillId="0" borderId="0" xfId="0" applyFont="1" applyBorder="1" applyAlignment="1">
      <alignment horizontal="center"/>
    </xf>
    <xf numFmtId="0" fontId="15" fillId="0" borderId="1" xfId="7" applyFont="1" applyFill="1" applyBorder="1" applyAlignment="1">
      <alignment horizontal="left"/>
    </xf>
    <xf numFmtId="0" fontId="16" fillId="0" borderId="16" xfId="7" applyFont="1" applyFill="1" applyBorder="1" applyAlignment="1">
      <alignment horizontal="center" wrapText="1"/>
    </xf>
    <xf numFmtId="0" fontId="31" fillId="0" borderId="7" xfId="0" applyFont="1" applyFill="1" applyBorder="1" applyAlignment="1">
      <alignment horizontal="center"/>
    </xf>
    <xf numFmtId="0" fontId="31" fillId="0" borderId="24" xfId="0" quotePrefix="1" applyFont="1" applyBorder="1" applyAlignment="1">
      <alignment horizontal="center"/>
    </xf>
    <xf numFmtId="0" fontId="31" fillId="0" borderId="7" xfId="0" applyFont="1" applyFill="1" applyBorder="1" applyAlignment="1">
      <alignment horizontal="left"/>
    </xf>
    <xf numFmtId="2" fontId="31" fillId="0" borderId="0" xfId="0" applyNumberFormat="1" applyFont="1" applyBorder="1" applyAlignment="1">
      <alignment horizontal="center"/>
    </xf>
    <xf numFmtId="3" fontId="31" fillId="0" borderId="0" xfId="0" applyNumberFormat="1" applyFont="1" applyBorder="1" applyAlignment="1">
      <alignment horizontal="center"/>
    </xf>
    <xf numFmtId="0" fontId="31" fillId="0" borderId="7" xfId="0" applyFont="1" applyBorder="1" applyAlignment="1">
      <alignment horizontal="left"/>
    </xf>
    <xf numFmtId="11" fontId="31" fillId="0" borderId="0" xfId="0" applyNumberFormat="1" applyFont="1" applyBorder="1" applyAlignment="1">
      <alignment horizontal="center"/>
    </xf>
    <xf numFmtId="0" fontId="31" fillId="0" borderId="24" xfId="0" quotePrefix="1" applyFont="1" applyFill="1" applyBorder="1" applyAlignment="1">
      <alignment horizontal="center"/>
    </xf>
    <xf numFmtId="2" fontId="31" fillId="0" borderId="0" xfId="0" applyNumberFormat="1" applyFont="1" applyFill="1" applyBorder="1" applyAlignment="1">
      <alignment horizontal="center"/>
    </xf>
    <xf numFmtId="4" fontId="31" fillId="0" borderId="0" xfId="0" applyNumberFormat="1" applyFont="1" applyFill="1" applyBorder="1" applyAlignment="1">
      <alignment horizontal="center"/>
    </xf>
    <xf numFmtId="2" fontId="31" fillId="0" borderId="0" xfId="0" quotePrefix="1" applyNumberFormat="1" applyFont="1" applyFill="1" applyBorder="1" applyAlignment="1">
      <alignment horizontal="center"/>
    </xf>
    <xf numFmtId="2" fontId="31" fillId="0" borderId="0" xfId="0" quotePrefix="1" applyNumberFormat="1" applyFont="1" applyBorder="1" applyAlignment="1">
      <alignment horizontal="center"/>
    </xf>
    <xf numFmtId="0" fontId="44" fillId="4" borderId="7" xfId="0" applyFont="1" applyFill="1" applyBorder="1" applyAlignment="1">
      <alignment horizontal="right"/>
    </xf>
    <xf numFmtId="2" fontId="44" fillId="4" borderId="0" xfId="0" applyNumberFormat="1" applyFont="1" applyFill="1" applyBorder="1" applyAlignment="1">
      <alignment horizontal="center"/>
    </xf>
    <xf numFmtId="11" fontId="44" fillId="4" borderId="0" xfId="0" applyNumberFormat="1" applyFont="1" applyFill="1" applyBorder="1" applyAlignment="1">
      <alignment horizontal="center"/>
    </xf>
    <xf numFmtId="3" fontId="44" fillId="4" borderId="0" xfId="0" applyNumberFormat="1" applyFont="1" applyFill="1" applyBorder="1" applyAlignment="1">
      <alignment horizontal="center"/>
    </xf>
    <xf numFmtId="2" fontId="44" fillId="4" borderId="0" xfId="0" quotePrefix="1" applyNumberFormat="1" applyFont="1" applyFill="1" applyBorder="1" applyAlignment="1">
      <alignment horizontal="center"/>
    </xf>
    <xf numFmtId="4" fontId="44" fillId="4" borderId="0" xfId="0" applyNumberFormat="1" applyFont="1" applyFill="1" applyBorder="1" applyAlignment="1">
      <alignment horizontal="center"/>
    </xf>
    <xf numFmtId="0" fontId="47" fillId="0" borderId="0" xfId="0" applyFont="1" applyAlignment="1">
      <alignment horizontal="center"/>
    </xf>
    <xf numFmtId="0" fontId="47" fillId="0" borderId="0" xfId="0" applyFont="1"/>
    <xf numFmtId="2" fontId="46" fillId="4" borderId="0" xfId="0" quotePrefix="1" applyNumberFormat="1" applyFont="1" applyFill="1" applyBorder="1" applyAlignment="1">
      <alignment horizontal="center"/>
    </xf>
    <xf numFmtId="0" fontId="27" fillId="0" borderId="24" xfId="7" applyFont="1" applyFill="1" applyBorder="1" applyAlignment="1">
      <alignment horizontal="right" vertical="center"/>
    </xf>
    <xf numFmtId="3" fontId="28" fillId="0" borderId="0" xfId="7" applyNumberFormat="1" applyFont="1" applyFill="1"/>
    <xf numFmtId="3" fontId="28" fillId="0" borderId="0" xfId="4" applyNumberFormat="1" applyFont="1"/>
    <xf numFmtId="4" fontId="20" fillId="0" borderId="5" xfId="7" applyNumberFormat="1" applyFont="1" applyFill="1" applyBorder="1" applyAlignment="1">
      <alignment horizontal="center" vertical="center" wrapText="1"/>
    </xf>
    <xf numFmtId="0" fontId="16" fillId="0" borderId="6" xfId="7" applyFont="1" applyFill="1" applyBorder="1" applyAlignment="1">
      <alignment horizontal="left"/>
    </xf>
    <xf numFmtId="168" fontId="16" fillId="2" borderId="0" xfId="0" applyNumberFormat="1" applyFont="1" applyFill="1" applyBorder="1" applyAlignment="1">
      <alignment horizontal="center" vertical="center"/>
    </xf>
    <xf numFmtId="168" fontId="16" fillId="2" borderId="5" xfId="0" applyNumberFormat="1" applyFont="1" applyFill="1" applyBorder="1" applyAlignment="1">
      <alignment horizontal="center" vertical="center"/>
    </xf>
    <xf numFmtId="0" fontId="20" fillId="0" borderId="6" xfId="0" applyFont="1" applyFill="1" applyBorder="1" applyAlignment="1">
      <alignment horizontal="left" vertical="center" wrapText="1"/>
    </xf>
    <xf numFmtId="0" fontId="17" fillId="0" borderId="0" xfId="7" applyFont="1" applyFill="1" applyBorder="1" applyAlignment="1">
      <alignment horizontal="right"/>
    </xf>
    <xf numFmtId="0" fontId="17" fillId="0" borderId="5" xfId="7" applyFont="1" applyFill="1" applyBorder="1" applyAlignment="1">
      <alignment horizontal="right"/>
    </xf>
    <xf numFmtId="3" fontId="16" fillId="0" borderId="0" xfId="0" applyNumberFormat="1" applyFont="1" applyFill="1" applyBorder="1" applyAlignment="1">
      <alignment horizontal="center" vertical="center"/>
    </xf>
    <xf numFmtId="3" fontId="16" fillId="0" borderId="5" xfId="0" applyNumberFormat="1" applyFont="1" applyFill="1" applyBorder="1" applyAlignment="1">
      <alignment horizontal="center" vertical="center"/>
    </xf>
    <xf numFmtId="0" fontId="27" fillId="0" borderId="2" xfId="0" applyFont="1" applyBorder="1"/>
    <xf numFmtId="0" fontId="29" fillId="0" borderId="5" xfId="0" applyFont="1" applyBorder="1"/>
    <xf numFmtId="0" fontId="27" fillId="0" borderId="0" xfId="0" applyFont="1" applyBorder="1"/>
    <xf numFmtId="0" fontId="48" fillId="0" borderId="0" xfId="14" applyFont="1" applyAlignment="1">
      <alignment horizontal="center"/>
    </xf>
    <xf numFmtId="0" fontId="48" fillId="0" borderId="0" xfId="14" applyFont="1" applyAlignment="1">
      <alignment horizontal="centerContinuous"/>
    </xf>
    <xf numFmtId="0" fontId="48" fillId="0" borderId="0" xfId="14" applyFont="1" applyAlignment="1">
      <alignment vertical="center"/>
    </xf>
    <xf numFmtId="2" fontId="48" fillId="0" borderId="0" xfId="14" applyNumberFormat="1" applyFont="1" applyAlignment="1">
      <alignment horizontal="center" vertical="center"/>
    </xf>
    <xf numFmtId="0" fontId="49" fillId="0" borderId="0" xfId="14" applyFont="1" applyAlignment="1">
      <alignment vertical="center"/>
    </xf>
    <xf numFmtId="0" fontId="50" fillId="0" borderId="0" xfId="14" applyFont="1" applyAlignment="1">
      <alignment vertical="center"/>
    </xf>
    <xf numFmtId="2" fontId="49" fillId="0" borderId="0" xfId="14" applyNumberFormat="1" applyFont="1" applyAlignment="1">
      <alignment horizontal="center" vertical="center"/>
    </xf>
    <xf numFmtId="0" fontId="48" fillId="0" borderId="0" xfId="14" applyFont="1"/>
    <xf numFmtId="0" fontId="50" fillId="0" borderId="0" xfId="14" applyFont="1" applyAlignment="1">
      <alignment vertical="center" wrapText="1"/>
    </xf>
    <xf numFmtId="2" fontId="50" fillId="0" borderId="0" xfId="14" applyNumberFormat="1" applyFont="1" applyAlignment="1">
      <alignment horizontal="center" vertical="center"/>
    </xf>
    <xf numFmtId="0" fontId="51" fillId="0" borderId="0" xfId="14" applyFont="1" applyAlignment="1">
      <alignment horizontal="left" vertical="center"/>
    </xf>
    <xf numFmtId="0" fontId="52" fillId="0" borderId="0" xfId="14" applyFont="1" applyAlignment="1">
      <alignment horizontal="left" vertical="center"/>
    </xf>
    <xf numFmtId="0" fontId="24" fillId="0" borderId="0" xfId="14" applyFont="1" applyAlignment="1">
      <alignment horizontal="centerContinuous"/>
    </xf>
    <xf numFmtId="0" fontId="53" fillId="0" borderId="0" xfId="14" applyFont="1" applyAlignment="1">
      <alignment horizontal="left" vertical="center"/>
    </xf>
    <xf numFmtId="3" fontId="20" fillId="0" borderId="0" xfId="14" applyNumberFormat="1" applyFont="1" applyAlignment="1">
      <alignment horizontal="center" vertical="center"/>
    </xf>
    <xf numFmtId="171" fontId="20" fillId="0" borderId="0" xfId="14" applyNumberFormat="1" applyFont="1" applyAlignment="1">
      <alignment horizontal="center" vertical="center"/>
    </xf>
    <xf numFmtId="2" fontId="20" fillId="0" borderId="0" xfId="14" applyNumberFormat="1" applyFont="1" applyAlignment="1">
      <alignment horizontal="center" vertical="center"/>
    </xf>
    <xf numFmtId="0" fontId="27" fillId="0" borderId="0" xfId="14" applyFont="1" applyAlignment="1">
      <alignment vertical="center"/>
    </xf>
    <xf numFmtId="0" fontId="20" fillId="0" borderId="0" xfId="14" applyFont="1" applyAlignment="1">
      <alignment horizontal="left" vertical="center" indent="2"/>
    </xf>
    <xf numFmtId="0" fontId="23" fillId="0" borderId="0" xfId="14" applyFont="1" applyAlignment="1">
      <alignment vertical="center"/>
    </xf>
    <xf numFmtId="0" fontId="20" fillId="0" borderId="0" xfId="14" applyFont="1" applyAlignment="1">
      <alignment vertical="center"/>
    </xf>
    <xf numFmtId="2" fontId="27" fillId="0" borderId="0" xfId="14" applyNumberFormat="1" applyFont="1" applyAlignment="1">
      <alignment vertical="center"/>
    </xf>
    <xf numFmtId="3" fontId="27" fillId="0" borderId="0" xfId="14" applyNumberFormat="1" applyFont="1" applyAlignment="1">
      <alignment horizontal="center" vertical="center"/>
    </xf>
    <xf numFmtId="2" fontId="27" fillId="0" borderId="0" xfId="14" applyNumberFormat="1" applyFont="1" applyAlignment="1">
      <alignment horizontal="center" vertical="center"/>
    </xf>
    <xf numFmtId="3" fontId="20" fillId="0" borderId="0" xfId="14" applyNumberFormat="1" applyFont="1" applyAlignment="1">
      <alignment horizontal="left" vertical="center" indent="2"/>
    </xf>
    <xf numFmtId="3" fontId="20" fillId="0" borderId="0" xfId="14" applyNumberFormat="1" applyFont="1" applyAlignment="1">
      <alignment horizontal="left" vertical="center" indent="4"/>
    </xf>
    <xf numFmtId="0" fontId="20" fillId="0" borderId="0" xfId="14" applyFont="1"/>
    <xf numFmtId="0" fontId="20" fillId="0" borderId="0" xfId="14" applyFont="1" applyAlignment="1">
      <alignment horizontal="centerContinuous"/>
    </xf>
    <xf numFmtId="0" fontId="24" fillId="0" borderId="31" xfId="14" applyFont="1" applyBorder="1" applyAlignment="1">
      <alignment horizontal="center"/>
    </xf>
    <xf numFmtId="0" fontId="24" fillId="0" borderId="11" xfId="14" applyFont="1" applyBorder="1" applyAlignment="1">
      <alignment horizontal="center"/>
    </xf>
    <xf numFmtId="0" fontId="24" fillId="0" borderId="32" xfId="14" applyFont="1" applyBorder="1" applyAlignment="1">
      <alignment horizontal="center"/>
    </xf>
    <xf numFmtId="0" fontId="24" fillId="0" borderId="33" xfId="14" applyFont="1" applyBorder="1"/>
    <xf numFmtId="0" fontId="24" fillId="0" borderId="28" xfId="14" applyFont="1" applyBorder="1" applyAlignment="1">
      <alignment horizontal="center"/>
    </xf>
    <xf numFmtId="0" fontId="24" fillId="0" borderId="12" xfId="14" applyFont="1" applyBorder="1" applyAlignment="1">
      <alignment horizontal="center"/>
    </xf>
    <xf numFmtId="0" fontId="24" fillId="0" borderId="0" xfId="14" applyFont="1" applyAlignment="1">
      <alignment horizontal="center"/>
    </xf>
    <xf numFmtId="0" fontId="24" fillId="0" borderId="15" xfId="14" applyFont="1" applyBorder="1" applyAlignment="1">
      <alignment horizontal="center"/>
    </xf>
    <xf numFmtId="0" fontId="24" fillId="0" borderId="34" xfId="14" applyFont="1" applyBorder="1" applyAlignment="1">
      <alignment horizontal="center"/>
    </xf>
    <xf numFmtId="0" fontId="24" fillId="0" borderId="19" xfId="14" applyFont="1" applyBorder="1" applyAlignment="1">
      <alignment horizontal="center"/>
    </xf>
    <xf numFmtId="0" fontId="24" fillId="0" borderId="8" xfId="14" applyFont="1" applyBorder="1" applyAlignment="1">
      <alignment horizontal="center"/>
    </xf>
    <xf numFmtId="0" fontId="24" fillId="0" borderId="35" xfId="14" applyFont="1" applyBorder="1" applyAlignment="1">
      <alignment horizontal="center"/>
    </xf>
    <xf numFmtId="1" fontId="20" fillId="0" borderId="34" xfId="14" applyNumberFormat="1" applyFont="1" applyBorder="1" applyAlignment="1">
      <alignment horizontal="center"/>
    </xf>
    <xf numFmtId="1" fontId="20" fillId="0" borderId="19" xfId="14" applyNumberFormat="1" applyFont="1" applyBorder="1" applyAlignment="1">
      <alignment horizontal="center"/>
    </xf>
    <xf numFmtId="172" fontId="20" fillId="0" borderId="19" xfId="14" applyNumberFormat="1" applyFont="1" applyBorder="1" applyAlignment="1">
      <alignment horizontal="center"/>
    </xf>
    <xf numFmtId="2" fontId="20" fillId="0" borderId="8" xfId="14" applyNumberFormat="1" applyFont="1" applyBorder="1" applyAlignment="1">
      <alignment horizontal="center"/>
    </xf>
    <xf numFmtId="2" fontId="20" fillId="0" borderId="19" xfId="14" applyNumberFormat="1" applyFont="1" applyBorder="1" applyAlignment="1">
      <alignment horizontal="center"/>
    </xf>
    <xf numFmtId="2" fontId="20" fillId="0" borderId="35" xfId="14" applyNumberFormat="1" applyFont="1" applyBorder="1" applyAlignment="1">
      <alignment horizontal="center"/>
    </xf>
    <xf numFmtId="1" fontId="20" fillId="0" borderId="36" xfId="14" applyNumberFormat="1" applyFont="1" applyBorder="1" applyAlignment="1">
      <alignment horizontal="center"/>
    </xf>
    <xf numFmtId="1" fontId="20" fillId="0" borderId="18" xfId="14" applyNumberFormat="1" applyFont="1" applyBorder="1" applyAlignment="1">
      <alignment horizontal="center"/>
    </xf>
    <xf numFmtId="2" fontId="20" fillId="0" borderId="20" xfId="14" applyNumberFormat="1" applyFont="1" applyBorder="1" applyAlignment="1">
      <alignment horizontal="center"/>
    </xf>
    <xf numFmtId="1" fontId="20" fillId="0" borderId="0" xfId="14" applyNumberFormat="1" applyFont="1" applyAlignment="1">
      <alignment horizontal="left"/>
    </xf>
    <xf numFmtId="1" fontId="20" fillId="0" borderId="0" xfId="14" applyNumberFormat="1" applyFont="1" applyAlignment="1">
      <alignment horizontal="center"/>
    </xf>
    <xf numFmtId="11" fontId="20" fillId="0" borderId="0" xfId="14" applyNumberFormat="1" applyFont="1" applyAlignment="1">
      <alignment horizontal="center"/>
    </xf>
    <xf numFmtId="172" fontId="20" fillId="0" borderId="0" xfId="14" applyNumberFormat="1" applyFont="1" applyAlignment="1">
      <alignment horizontal="center"/>
    </xf>
    <xf numFmtId="3" fontId="20" fillId="0" borderId="0" xfId="14" applyNumberFormat="1" applyFont="1" applyAlignment="1">
      <alignment horizontal="center"/>
    </xf>
    <xf numFmtId="166" fontId="20" fillId="0" borderId="0" xfId="14" applyNumberFormat="1" applyFont="1" applyAlignment="1">
      <alignment horizontal="center"/>
    </xf>
    <xf numFmtId="2" fontId="20" fillId="0" borderId="0" xfId="14" applyNumberFormat="1" applyFont="1" applyAlignment="1">
      <alignment horizontal="center"/>
    </xf>
    <xf numFmtId="0" fontId="24" fillId="0" borderId="0" xfId="14" applyFont="1" applyAlignment="1">
      <alignment horizontal="left"/>
    </xf>
    <xf numFmtId="0" fontId="24" fillId="0" borderId="31" xfId="14" applyFont="1" applyBorder="1" applyAlignment="1">
      <alignment horizontal="centerContinuous"/>
    </xf>
    <xf numFmtId="0" fontId="24" fillId="0" borderId="33" xfId="14" applyFont="1" applyBorder="1" applyAlignment="1">
      <alignment horizontal="centerContinuous"/>
    </xf>
    <xf numFmtId="0" fontId="24" fillId="0" borderId="34" xfId="14" applyFont="1" applyBorder="1" applyAlignment="1">
      <alignment horizontal="centerContinuous"/>
    </xf>
    <xf numFmtId="0" fontId="24" fillId="0" borderId="35" xfId="14" applyFont="1" applyBorder="1" applyAlignment="1">
      <alignment horizontal="centerContinuous"/>
    </xf>
    <xf numFmtId="2" fontId="20" fillId="0" borderId="34" xfId="14" applyNumberFormat="1" applyFont="1" applyBorder="1" applyAlignment="1">
      <alignment horizontal="centerContinuous"/>
    </xf>
    <xf numFmtId="0" fontId="20" fillId="0" borderId="35" xfId="14" applyFont="1" applyBorder="1" applyAlignment="1">
      <alignment horizontal="centerContinuous"/>
    </xf>
    <xf numFmtId="166" fontId="20" fillId="0" borderId="34" xfId="14" applyNumberFormat="1" applyFont="1" applyBorder="1" applyAlignment="1">
      <alignment horizontal="centerContinuous"/>
    </xf>
    <xf numFmtId="0" fontId="24" fillId="0" borderId="0" xfId="14" applyFont="1" applyAlignment="1">
      <alignment horizontal="left" vertical="center"/>
    </xf>
    <xf numFmtId="0" fontId="55" fillId="0" borderId="0" xfId="14" applyFont="1" applyAlignment="1">
      <alignment horizontal="left" vertical="center"/>
    </xf>
    <xf numFmtId="0" fontId="23" fillId="0" borderId="0" xfId="14" applyFont="1" applyAlignment="1">
      <alignment vertical="center" wrapText="1"/>
    </xf>
    <xf numFmtId="0" fontId="27" fillId="0" borderId="0" xfId="14" applyFont="1" applyAlignment="1">
      <alignment horizontal="left" vertical="center" indent="2"/>
    </xf>
    <xf numFmtId="164" fontId="27" fillId="0" borderId="0" xfId="14" applyNumberFormat="1" applyFont="1" applyAlignment="1">
      <alignment horizontal="center" vertical="center"/>
    </xf>
    <xf numFmtId="4" fontId="16" fillId="2" borderId="0" xfId="0" applyNumberFormat="1" applyFont="1" applyFill="1" applyBorder="1" applyAlignment="1">
      <alignment horizontal="center" vertical="center"/>
    </xf>
    <xf numFmtId="0" fontId="13" fillId="0" borderId="0" xfId="4" applyFont="1" applyFill="1" applyBorder="1"/>
    <xf numFmtId="0" fontId="14" fillId="0" borderId="0" xfId="4" applyFont="1" applyFill="1" applyBorder="1"/>
    <xf numFmtId="0" fontId="14" fillId="0" borderId="0" xfId="4" applyFont="1" applyFill="1" applyBorder="1" applyAlignment="1">
      <alignment horizontal="left" vertical="center"/>
    </xf>
    <xf numFmtId="0" fontId="28" fillId="0" borderId="0" xfId="4" applyFont="1" applyFill="1"/>
    <xf numFmtId="3" fontId="28" fillId="0" borderId="0" xfId="4" applyNumberFormat="1" applyFont="1" applyFill="1"/>
    <xf numFmtId="0" fontId="9" fillId="0" borderId="5" xfId="0" applyFont="1" applyFill="1" applyBorder="1" applyAlignment="1">
      <alignment horizontal="center"/>
    </xf>
    <xf numFmtId="169" fontId="9" fillId="0" borderId="0" xfId="0" applyNumberFormat="1" applyFont="1" applyFill="1" applyBorder="1" applyAlignment="1">
      <alignment horizontal="center"/>
    </xf>
    <xf numFmtId="169" fontId="9" fillId="0" borderId="5" xfId="0" applyNumberFormat="1" applyFont="1" applyFill="1" applyBorder="1" applyAlignment="1">
      <alignment horizontal="center"/>
    </xf>
    <xf numFmtId="169" fontId="16" fillId="0" borderId="5" xfId="0" applyNumberFormat="1" applyFont="1" applyFill="1" applyBorder="1" applyAlignment="1">
      <alignment horizontal="center" vertical="center"/>
    </xf>
    <xf numFmtId="2" fontId="31" fillId="4" borderId="0" xfId="0" applyNumberFormat="1" applyFont="1" applyFill="1" applyBorder="1" applyAlignment="1">
      <alignment horizontal="center"/>
    </xf>
    <xf numFmtId="11" fontId="31" fillId="4" borderId="0" xfId="0" applyNumberFormat="1" applyFont="1" applyFill="1" applyBorder="1" applyAlignment="1">
      <alignment horizontal="center"/>
    </xf>
    <xf numFmtId="3" fontId="33" fillId="0" borderId="2" xfId="0" applyNumberFormat="1" applyFont="1" applyBorder="1" applyAlignment="1">
      <alignment horizontal="center"/>
    </xf>
    <xf numFmtId="11" fontId="31" fillId="4" borderId="0" xfId="0" quotePrefix="1" applyNumberFormat="1" applyFont="1" applyFill="1" applyBorder="1" applyAlignment="1">
      <alignment horizontal="center"/>
    </xf>
    <xf numFmtId="3" fontId="31" fillId="4" borderId="0" xfId="0" quotePrefix="1" applyNumberFormat="1" applyFont="1" applyFill="1" applyBorder="1" applyAlignment="1">
      <alignment horizontal="center"/>
    </xf>
    <xf numFmtId="1" fontId="9" fillId="0" borderId="2" xfId="0" applyNumberFormat="1" applyFont="1" applyFill="1" applyBorder="1" applyAlignment="1">
      <alignment horizontal="center"/>
    </xf>
    <xf numFmtId="1" fontId="9" fillId="0" borderId="0" xfId="0" applyNumberFormat="1" applyFont="1" applyFill="1" applyBorder="1" applyAlignment="1">
      <alignment horizontal="center"/>
    </xf>
    <xf numFmtId="167" fontId="9" fillId="0" borderId="4" xfId="0" applyNumberFormat="1" applyFont="1" applyFill="1" applyBorder="1" applyAlignment="1">
      <alignment horizontal="center"/>
    </xf>
    <xf numFmtId="1" fontId="9" fillId="0" borderId="5" xfId="0" applyNumberFormat="1" applyFont="1" applyFill="1" applyBorder="1" applyAlignment="1">
      <alignment horizontal="center"/>
    </xf>
    <xf numFmtId="167" fontId="9" fillId="2" borderId="2" xfId="0" applyNumberFormat="1" applyFont="1" applyFill="1" applyBorder="1" applyAlignment="1">
      <alignment horizontal="center"/>
    </xf>
    <xf numFmtId="167" fontId="9" fillId="2" borderId="5" xfId="0" applyNumberFormat="1" applyFont="1" applyFill="1" applyBorder="1" applyAlignment="1">
      <alignment horizontal="center"/>
    </xf>
    <xf numFmtId="0" fontId="9" fillId="0" borderId="38" xfId="0" applyFont="1" applyBorder="1"/>
    <xf numFmtId="3" fontId="9" fillId="0" borderId="37" xfId="0" applyNumberFormat="1" applyFont="1" applyBorder="1" applyAlignment="1">
      <alignment horizontal="center"/>
    </xf>
    <xf numFmtId="2" fontId="9" fillId="0" borderId="37" xfId="0" applyNumberFormat="1" applyFont="1" applyBorder="1" applyAlignment="1">
      <alignment horizontal="center"/>
    </xf>
    <xf numFmtId="0" fontId="9" fillId="0" borderId="37" xfId="0" applyFont="1" applyBorder="1" applyAlignment="1">
      <alignment horizontal="center"/>
    </xf>
    <xf numFmtId="1" fontId="9" fillId="0" borderId="37" xfId="0" applyNumberFormat="1" applyFont="1" applyFill="1" applyBorder="1" applyAlignment="1">
      <alignment horizontal="center"/>
    </xf>
    <xf numFmtId="167" fontId="9" fillId="2" borderId="37" xfId="0" applyNumberFormat="1" applyFont="1" applyFill="1" applyBorder="1" applyAlignment="1">
      <alignment horizontal="center"/>
    </xf>
    <xf numFmtId="14" fontId="56" fillId="0" borderId="0" xfId="2" applyNumberFormat="1" applyFont="1" applyFill="1" applyAlignment="1">
      <alignment horizontal="left"/>
    </xf>
    <xf numFmtId="165" fontId="9" fillId="0" borderId="37" xfId="0" applyNumberFormat="1" applyFont="1" applyBorder="1" applyAlignment="1">
      <alignment horizontal="center"/>
    </xf>
    <xf numFmtId="165" fontId="9" fillId="0" borderId="39" xfId="0" applyNumberFormat="1" applyFont="1" applyBorder="1" applyAlignment="1">
      <alignment horizontal="center"/>
    </xf>
    <xf numFmtId="4" fontId="9" fillId="0" borderId="9" xfId="0" applyNumberFormat="1" applyFont="1" applyBorder="1" applyAlignment="1">
      <alignment horizontal="center"/>
    </xf>
    <xf numFmtId="3" fontId="9" fillId="0" borderId="9" xfId="0" applyNumberFormat="1" applyFont="1" applyBorder="1" applyAlignment="1">
      <alignment horizontal="center"/>
    </xf>
    <xf numFmtId="0" fontId="9" fillId="0" borderId="10" xfId="0" applyFont="1" applyBorder="1"/>
    <xf numFmtId="0" fontId="10" fillId="0" borderId="0" xfId="7" applyFont="1" applyFill="1" applyAlignment="1">
      <alignment horizontal="center" vertical="center"/>
    </xf>
    <xf numFmtId="0" fontId="31" fillId="0" borderId="7" xfId="0" quotePrefix="1" applyFont="1" applyBorder="1" applyAlignment="1">
      <alignment horizontal="center" vertical="top"/>
    </xf>
    <xf numFmtId="0" fontId="31" fillId="0" borderId="7" xfId="0" quotePrefix="1" applyFont="1" applyFill="1" applyBorder="1" applyAlignment="1">
      <alignment horizontal="center" vertical="top"/>
    </xf>
    <xf numFmtId="0" fontId="29" fillId="0" borderId="25" xfId="0" applyFont="1" applyBorder="1" applyAlignment="1">
      <alignment horizontal="center"/>
    </xf>
    <xf numFmtId="0" fontId="29" fillId="0" borderId="40" xfId="0" applyFont="1" applyBorder="1" applyAlignment="1">
      <alignment horizontal="center"/>
    </xf>
    <xf numFmtId="0" fontId="29" fillId="2" borderId="16" xfId="0" applyFont="1" applyFill="1" applyBorder="1" applyAlignment="1">
      <alignment horizontal="center"/>
    </xf>
    <xf numFmtId="0" fontId="29" fillId="2" borderId="17" xfId="0" applyFont="1" applyFill="1" applyBorder="1" applyAlignment="1">
      <alignment horizontal="center"/>
    </xf>
    <xf numFmtId="0" fontId="29" fillId="2" borderId="7" xfId="0" applyFont="1" applyFill="1" applyBorder="1" applyAlignment="1">
      <alignment horizontal="center"/>
    </xf>
    <xf numFmtId="4" fontId="9" fillId="2" borderId="7" xfId="0" applyNumberFormat="1" applyFont="1" applyFill="1" applyBorder="1" applyAlignment="1">
      <alignment horizontal="center"/>
    </xf>
    <xf numFmtId="0" fontId="9" fillId="2" borderId="17" xfId="0" applyFont="1" applyFill="1" applyBorder="1"/>
    <xf numFmtId="4" fontId="9" fillId="2" borderId="7" xfId="0" quotePrefix="1" applyNumberFormat="1" applyFont="1" applyFill="1" applyBorder="1" applyAlignment="1">
      <alignment horizontal="center"/>
    </xf>
    <xf numFmtId="0" fontId="57" fillId="0" borderId="1" xfId="0" applyFont="1" applyBorder="1"/>
    <xf numFmtId="0" fontId="0" fillId="0" borderId="2" xfId="0" applyBorder="1"/>
    <xf numFmtId="0" fontId="0" fillId="0" borderId="3" xfId="0" applyBorder="1"/>
    <xf numFmtId="0" fontId="0" fillId="0" borderId="24" xfId="0" applyBorder="1"/>
    <xf numFmtId="0" fontId="0" fillId="0" borderId="4" xfId="0" applyBorder="1"/>
    <xf numFmtId="0" fontId="0" fillId="0" borderId="33" xfId="0" applyBorder="1" applyAlignment="1">
      <alignment horizontal="center"/>
    </xf>
    <xf numFmtId="0" fontId="0" fillId="0" borderId="15" xfId="0" applyBorder="1" applyAlignment="1">
      <alignment horizontal="center"/>
    </xf>
    <xf numFmtId="0" fontId="0" fillId="0" borderId="4" xfId="0" applyBorder="1" applyAlignment="1">
      <alignment horizontal="center"/>
    </xf>
    <xf numFmtId="0" fontId="0" fillId="0" borderId="9" xfId="0" applyBorder="1"/>
    <xf numFmtId="0" fontId="57" fillId="0" borderId="9" xfId="0" applyFont="1" applyBorder="1"/>
    <xf numFmtId="0" fontId="0" fillId="0" borderId="15" xfId="0" applyBorder="1"/>
    <xf numFmtId="0" fontId="0" fillId="0" borderId="10" xfId="0" applyBorder="1"/>
    <xf numFmtId="0" fontId="0" fillId="0" borderId="30" xfId="0" applyBorder="1"/>
    <xf numFmtId="0" fontId="0" fillId="0" borderId="6" xfId="0" applyBorder="1"/>
    <xf numFmtId="164" fontId="0" fillId="0" borderId="15" xfId="0" applyNumberFormat="1" applyBorder="1"/>
    <xf numFmtId="164" fontId="0" fillId="0" borderId="4" xfId="0" applyNumberFormat="1" applyBorder="1"/>
    <xf numFmtId="0" fontId="0" fillId="0" borderId="5" xfId="0" applyBorder="1"/>
    <xf numFmtId="0" fontId="0" fillId="0" borderId="0" xfId="0" applyAlignment="1">
      <alignment horizontal="center"/>
    </xf>
    <xf numFmtId="0" fontId="0" fillId="0" borderId="12" xfId="0" applyBorder="1"/>
    <xf numFmtId="0" fontId="0" fillId="0" borderId="13" xfId="0" applyBorder="1"/>
    <xf numFmtId="4" fontId="9" fillId="0" borderId="0" xfId="0" applyNumberFormat="1" applyFont="1" applyFill="1" applyBorder="1" applyAlignment="1">
      <alignment horizontal="center"/>
    </xf>
    <xf numFmtId="164" fontId="16" fillId="0" borderId="0" xfId="0" quotePrefix="1" applyNumberFormat="1" applyFont="1" applyFill="1" applyBorder="1" applyAlignment="1">
      <alignment horizontal="center" vertical="center"/>
    </xf>
    <xf numFmtId="0" fontId="16" fillId="0" borderId="0" xfId="0" quotePrefix="1" applyFont="1" applyFill="1" applyBorder="1" applyAlignment="1">
      <alignment horizontal="center" vertical="center"/>
    </xf>
    <xf numFmtId="1" fontId="16" fillId="0" borderId="0" xfId="0" applyNumberFormat="1" applyFont="1" applyFill="1" applyBorder="1" applyAlignment="1">
      <alignment horizontal="center" vertical="center"/>
    </xf>
    <xf numFmtId="0" fontId="20" fillId="0" borderId="0" xfId="8" applyFont="1" applyFill="1" applyBorder="1" applyAlignment="1">
      <alignment vertical="center"/>
    </xf>
    <xf numFmtId="0" fontId="20" fillId="0" borderId="25" xfId="8" applyFont="1" applyFill="1" applyBorder="1" applyAlignment="1">
      <alignment vertical="center"/>
    </xf>
    <xf numFmtId="3" fontId="20" fillId="0" borderId="5" xfId="9" applyNumberFormat="1" applyFont="1" applyFill="1" applyBorder="1" applyAlignment="1">
      <alignment horizontal="center" vertical="center"/>
    </xf>
    <xf numFmtId="3" fontId="20" fillId="0" borderId="5" xfId="8" applyNumberFormat="1" applyFont="1" applyFill="1" applyBorder="1" applyAlignment="1">
      <alignment horizontal="center" vertical="center"/>
    </xf>
    <xf numFmtId="4" fontId="20" fillId="0" borderId="5" xfId="9" quotePrefix="1" applyNumberFormat="1" applyFont="1" applyFill="1" applyBorder="1" applyAlignment="1">
      <alignment horizontal="center" vertical="center"/>
    </xf>
    <xf numFmtId="0" fontId="16" fillId="0" borderId="5" xfId="7" quotePrefix="1" applyFont="1" applyFill="1" applyBorder="1" applyAlignment="1">
      <alignment horizontal="center" vertical="center"/>
    </xf>
    <xf numFmtId="4" fontId="20" fillId="0" borderId="0" xfId="9" applyNumberFormat="1" applyFont="1" applyFill="1" applyBorder="1" applyAlignment="1">
      <alignment horizontal="center" vertical="center"/>
    </xf>
    <xf numFmtId="168" fontId="20" fillId="0" borderId="0" xfId="9" applyNumberFormat="1" applyFont="1" applyFill="1" applyBorder="1" applyAlignment="1">
      <alignment horizontal="center" vertical="center"/>
    </xf>
    <xf numFmtId="170" fontId="20" fillId="0" borderId="0" xfId="9" applyNumberFormat="1" applyFont="1" applyFill="1" applyBorder="1" applyAlignment="1">
      <alignment horizontal="center" vertical="center"/>
    </xf>
    <xf numFmtId="0" fontId="0" fillId="0" borderId="0" xfId="0"/>
    <xf numFmtId="0" fontId="0" fillId="0" borderId="0" xfId="0" applyBorder="1"/>
    <xf numFmtId="0" fontId="0" fillId="0" borderId="15" xfId="0" applyBorder="1" applyAlignment="1"/>
    <xf numFmtId="164" fontId="0" fillId="0" borderId="15" xfId="0" applyNumberFormat="1" applyBorder="1"/>
    <xf numFmtId="0" fontId="57" fillId="5" borderId="41" xfId="0" applyFont="1" applyFill="1" applyBorder="1" applyAlignment="1">
      <alignment horizontal="centerContinuous"/>
    </xf>
    <xf numFmtId="0" fontId="58" fillId="5" borderId="42" xfId="0" applyFont="1" applyFill="1" applyBorder="1" applyAlignment="1">
      <alignment horizontal="centerContinuous"/>
    </xf>
    <xf numFmtId="0" fontId="58" fillId="5" borderId="43" xfId="0" applyFont="1" applyFill="1" applyBorder="1" applyAlignment="1">
      <alignment horizontal="centerContinuous"/>
    </xf>
    <xf numFmtId="49" fontId="59" fillId="6" borderId="41" xfId="15" applyNumberFormat="1" applyBorder="1">
      <alignment horizontal="left"/>
    </xf>
    <xf numFmtId="49" fontId="59" fillId="6" borderId="44" xfId="16" quotePrefix="1" applyNumberFormat="1" applyBorder="1" applyAlignment="1">
      <alignment horizontal="center" wrapText="1"/>
    </xf>
    <xf numFmtId="49" fontId="59" fillId="6" borderId="44" xfId="16" applyNumberFormat="1" applyBorder="1">
      <alignment horizontal="center"/>
    </xf>
    <xf numFmtId="49" fontId="59" fillId="6" borderId="44" xfId="16" applyNumberFormat="1" applyBorder="1" applyAlignment="1">
      <alignment horizontal="center" wrapText="1"/>
    </xf>
    <xf numFmtId="49" fontId="59" fillId="7" borderId="41" xfId="17" quotePrefix="1" applyNumberFormat="1" applyBorder="1">
      <alignment horizontal="left"/>
    </xf>
    <xf numFmtId="0" fontId="60" fillId="7" borderId="42" xfId="18" applyBorder="1">
      <alignment horizontal="left" vertical="top"/>
    </xf>
    <xf numFmtId="0" fontId="60" fillId="7" borderId="43" xfId="19" applyBorder="1">
      <alignment horizontal="left" vertical="top"/>
    </xf>
    <xf numFmtId="49" fontId="59" fillId="8" borderId="41" xfId="20" applyNumberFormat="1" applyBorder="1">
      <alignment horizontal="left"/>
    </xf>
    <xf numFmtId="0" fontId="61" fillId="8" borderId="42" xfId="21" applyBorder="1">
      <alignment horizontal="left" vertical="top"/>
    </xf>
    <xf numFmtId="0" fontId="61" fillId="8" borderId="43" xfId="22" applyBorder="1">
      <alignment horizontal="left" vertical="top"/>
    </xf>
    <xf numFmtId="49" fontId="62" fillId="9" borderId="45" xfId="23" applyNumberFormat="1" applyBorder="1">
      <alignment horizontal="left"/>
    </xf>
    <xf numFmtId="173" fontId="62" fillId="9" borderId="46" xfId="24" applyNumberFormat="1" applyBorder="1">
      <alignment horizontal="right"/>
    </xf>
    <xf numFmtId="0" fontId="62" fillId="9" borderId="46" xfId="24" applyBorder="1">
      <alignment horizontal="right"/>
    </xf>
    <xf numFmtId="173" fontId="62" fillId="9" borderId="45" xfId="24" applyNumberFormat="1" applyBorder="1">
      <alignment horizontal="right"/>
    </xf>
    <xf numFmtId="174" fontId="63" fillId="9" borderId="45" xfId="25" applyNumberFormat="1" applyBorder="1">
      <alignment horizontal="center"/>
    </xf>
    <xf numFmtId="49" fontId="62" fillId="9" borderId="46" xfId="26" applyNumberFormat="1" applyBorder="1">
      <alignment horizontal="center"/>
    </xf>
    <xf numFmtId="174" fontId="63" fillId="9" borderId="41" xfId="25" applyNumberFormat="1" applyBorder="1">
      <alignment horizontal="center"/>
    </xf>
    <xf numFmtId="0" fontId="62" fillId="9" borderId="45" xfId="24" applyBorder="1">
      <alignment horizontal="right"/>
    </xf>
    <xf numFmtId="174" fontId="62" fillId="9" borderId="44" xfId="26" applyNumberFormat="1" applyBorder="1">
      <alignment horizontal="center"/>
    </xf>
    <xf numFmtId="49" fontId="62" fillId="9" borderId="47" xfId="26" applyNumberFormat="1" applyBorder="1">
      <alignment horizontal="center"/>
    </xf>
    <xf numFmtId="174" fontId="64" fillId="9" borderId="41" xfId="27" applyNumberFormat="1" applyBorder="1">
      <alignment horizontal="center"/>
    </xf>
    <xf numFmtId="175" fontId="62" fillId="9" borderId="46" xfId="24" applyNumberFormat="1" applyBorder="1">
      <alignment horizontal="right"/>
    </xf>
    <xf numFmtId="175" fontId="62" fillId="9" borderId="45" xfId="24" applyNumberFormat="1" applyBorder="1">
      <alignment horizontal="right"/>
    </xf>
    <xf numFmtId="174" fontId="64" fillId="9" borderId="45" xfId="27" applyNumberFormat="1" applyBorder="1">
      <alignment horizontal="center"/>
    </xf>
    <xf numFmtId="176" fontId="62" fillId="9" borderId="46" xfId="24" applyNumberFormat="1" applyBorder="1">
      <alignment horizontal="right"/>
    </xf>
    <xf numFmtId="176" fontId="62" fillId="9" borderId="45" xfId="24" applyNumberFormat="1" applyBorder="1">
      <alignment horizontal="right"/>
    </xf>
    <xf numFmtId="174" fontId="62" fillId="9" borderId="46" xfId="26" applyNumberFormat="1" applyBorder="1">
      <alignment horizontal="center"/>
    </xf>
    <xf numFmtId="49" fontId="62" fillId="9" borderId="48" xfId="26" applyNumberFormat="1" applyBorder="1">
      <alignment horizontal="center"/>
    </xf>
    <xf numFmtId="49" fontId="62" fillId="9" borderId="44" xfId="26" applyNumberFormat="1" applyBorder="1">
      <alignment horizontal="center"/>
    </xf>
    <xf numFmtId="49" fontId="62" fillId="10" borderId="45" xfId="23" applyNumberFormat="1" applyFill="1" applyBorder="1">
      <alignment horizontal="left"/>
    </xf>
    <xf numFmtId="173" fontId="62" fillId="10" borderId="46" xfId="24" applyNumberFormat="1" applyFill="1" applyBorder="1">
      <alignment horizontal="right"/>
    </xf>
    <xf numFmtId="49" fontId="62" fillId="9" borderId="41" xfId="23" applyNumberFormat="1" applyBorder="1">
      <alignment horizontal="left"/>
    </xf>
    <xf numFmtId="173" fontId="62" fillId="9" borderId="44" xfId="24" applyNumberFormat="1" applyBorder="1">
      <alignment horizontal="right"/>
    </xf>
    <xf numFmtId="173" fontId="62" fillId="9" borderId="41" xfId="24" applyNumberFormat="1" applyBorder="1">
      <alignment horizontal="right"/>
    </xf>
    <xf numFmtId="0" fontId="61" fillId="8" borderId="0" xfId="21">
      <alignment horizontal="left" vertical="top"/>
    </xf>
    <xf numFmtId="175" fontId="62" fillId="9" borderId="44" xfId="24" applyNumberFormat="1" applyBorder="1">
      <alignment horizontal="right"/>
    </xf>
    <xf numFmtId="175" fontId="62" fillId="9" borderId="41" xfId="24" applyNumberFormat="1" applyBorder="1">
      <alignment horizontal="right"/>
    </xf>
    <xf numFmtId="0" fontId="62" fillId="11" borderId="41" xfId="28" applyBorder="1">
      <alignment horizontal="left" vertical="center"/>
    </xf>
    <xf numFmtId="0" fontId="62" fillId="11" borderId="42" xfId="29" applyBorder="1">
      <alignment horizontal="left" vertical="center"/>
    </xf>
    <xf numFmtId="0" fontId="62" fillId="11" borderId="0" xfId="29">
      <alignment horizontal="left" vertical="center"/>
    </xf>
    <xf numFmtId="0" fontId="62" fillId="11" borderId="43" xfId="30" applyBorder="1">
      <alignment horizontal="left" vertical="center"/>
    </xf>
    <xf numFmtId="49" fontId="59" fillId="9" borderId="41" xfId="31" applyNumberFormat="1" applyBorder="1">
      <alignment horizontal="left"/>
    </xf>
    <xf numFmtId="0" fontId="62" fillId="9" borderId="42" xfId="32" applyBorder="1">
      <alignment horizontal="left" vertical="center"/>
    </xf>
    <xf numFmtId="0" fontId="62" fillId="9" borderId="43" xfId="33" applyBorder="1">
      <alignment horizontal="left" vertical="center"/>
    </xf>
    <xf numFmtId="0" fontId="62" fillId="9" borderId="49" xfId="34" applyBorder="1">
      <alignment horizontal="left"/>
    </xf>
    <xf numFmtId="0" fontId="62" fillId="9" borderId="0" xfId="35">
      <alignment horizontal="left" vertical="center"/>
    </xf>
    <xf numFmtId="0" fontId="62" fillId="9" borderId="50" xfId="36" applyBorder="1">
      <alignment horizontal="left" vertical="center"/>
    </xf>
    <xf numFmtId="0" fontId="62" fillId="9" borderId="51" xfId="37" applyBorder="1">
      <alignment horizontal="left"/>
    </xf>
    <xf numFmtId="0" fontId="62" fillId="9" borderId="52" xfId="38" applyBorder="1">
      <alignment horizontal="left" vertical="center"/>
    </xf>
    <xf numFmtId="0" fontId="62" fillId="9" borderId="53" xfId="39" applyBorder="1">
      <alignment horizontal="left" vertical="center"/>
    </xf>
    <xf numFmtId="173" fontId="0" fillId="0" borderId="0" xfId="0" applyNumberFormat="1" applyAlignment="1">
      <alignment horizontal="center"/>
    </xf>
    <xf numFmtId="168" fontId="20" fillId="0" borderId="0" xfId="9" quotePrefix="1" applyNumberFormat="1" applyFont="1" applyFill="1" applyBorder="1" applyAlignment="1">
      <alignment horizontal="center" vertical="center"/>
    </xf>
    <xf numFmtId="2" fontId="16" fillId="0" borderId="0" xfId="0" quotePrefix="1" applyNumberFormat="1" applyFont="1" applyFill="1" applyBorder="1" applyAlignment="1">
      <alignment horizontal="center" vertical="center"/>
    </xf>
    <xf numFmtId="0" fontId="17" fillId="0" borderId="0" xfId="7" applyFont="1" applyAlignment="1">
      <alignment vertical="center"/>
    </xf>
    <xf numFmtId="0" fontId="17" fillId="0" borderId="0" xfId="7" applyFont="1" applyAlignment="1">
      <alignment horizontal="left" vertical="center"/>
    </xf>
    <xf numFmtId="0" fontId="17" fillId="0" borderId="0" xfId="7" quotePrefix="1" applyFont="1" applyAlignment="1">
      <alignment horizontal="left" vertical="center"/>
    </xf>
    <xf numFmtId="3" fontId="16" fillId="0" borderId="0" xfId="7" applyNumberFormat="1" applyFont="1" applyAlignment="1">
      <alignment horizontal="left" vertical="center" wrapText="1"/>
    </xf>
    <xf numFmtId="1" fontId="16" fillId="0" borderId="0" xfId="7" applyNumberFormat="1" applyFont="1" applyAlignment="1">
      <alignment horizontal="left" vertical="center"/>
    </xf>
    <xf numFmtId="3" fontId="16" fillId="0" borderId="0" xfId="7" applyNumberFormat="1" applyFont="1" applyAlignment="1">
      <alignment horizontal="left" vertical="center"/>
    </xf>
    <xf numFmtId="0" fontId="16" fillId="0" borderId="0" xfId="7" applyFont="1" applyAlignment="1">
      <alignment horizontal="center"/>
    </xf>
    <xf numFmtId="0" fontId="16" fillId="0" borderId="1" xfId="7" applyFont="1" applyBorder="1"/>
    <xf numFmtId="0" fontId="16" fillId="0" borderId="2" xfId="7" applyFont="1" applyBorder="1"/>
    <xf numFmtId="0" fontId="16" fillId="0" borderId="2" xfId="7" applyFont="1" applyBorder="1" applyAlignment="1">
      <alignment horizontal="center" wrapText="1"/>
    </xf>
    <xf numFmtId="0" fontId="16" fillId="0" borderId="2" xfId="7" applyFont="1" applyBorder="1" applyAlignment="1">
      <alignment horizontal="center"/>
    </xf>
    <xf numFmtId="0" fontId="16" fillId="0" borderId="3" xfId="7" applyFont="1" applyBorder="1" applyAlignment="1">
      <alignment horizontal="left" vertical="center"/>
    </xf>
    <xf numFmtId="0" fontId="17" fillId="0" borderId="24" xfId="7" applyFont="1" applyBorder="1" applyAlignment="1">
      <alignment horizontal="left" vertical="center" wrapText="1"/>
    </xf>
    <xf numFmtId="0" fontId="17" fillId="0" borderId="0" xfId="7" applyFont="1" applyAlignment="1">
      <alignment horizontal="center" vertical="center" wrapText="1"/>
    </xf>
    <xf numFmtId="0" fontId="17" fillId="0" borderId="4" xfId="7" applyFont="1" applyBorder="1" applyAlignment="1">
      <alignment horizontal="center" vertical="center" wrapText="1"/>
    </xf>
    <xf numFmtId="0" fontId="17" fillId="0" borderId="0" xfId="7" applyFont="1" applyAlignment="1">
      <alignment horizontal="center" vertical="center"/>
    </xf>
    <xf numFmtId="0" fontId="10" fillId="0" borderId="0" xfId="7" applyFont="1" applyAlignment="1">
      <alignment horizontal="center" vertical="center"/>
    </xf>
    <xf numFmtId="0" fontId="16" fillId="0" borderId="25" xfId="7" applyFont="1" applyBorder="1"/>
    <xf numFmtId="0" fontId="16" fillId="0" borderId="5" xfId="7" applyFont="1" applyBorder="1"/>
    <xf numFmtId="0" fontId="16" fillId="0" borderId="5" xfId="7" applyFont="1" applyBorder="1" applyAlignment="1">
      <alignment horizontal="center" wrapText="1"/>
    </xf>
    <xf numFmtId="0" fontId="16" fillId="0" borderId="5" xfId="7" applyFont="1" applyBorder="1" applyAlignment="1">
      <alignment horizontal="center"/>
    </xf>
    <xf numFmtId="0" fontId="16" fillId="0" borderId="6" xfId="7" applyFont="1" applyBorder="1" applyAlignment="1">
      <alignment horizontal="left" vertical="center"/>
    </xf>
    <xf numFmtId="0" fontId="18" fillId="0" borderId="24" xfId="7" applyFont="1" applyBorder="1"/>
    <xf numFmtId="0" fontId="18" fillId="0" borderId="0" xfId="7" applyFont="1"/>
    <xf numFmtId="0" fontId="19" fillId="0" borderId="0" xfId="7" applyFont="1" applyAlignment="1">
      <alignment horizontal="center" wrapText="1"/>
    </xf>
    <xf numFmtId="0" fontId="16" fillId="0" borderId="4" xfId="7" applyFont="1" applyBorder="1" applyAlignment="1">
      <alignment horizontal="left" vertical="center"/>
    </xf>
    <xf numFmtId="0" fontId="20" fillId="0" borderId="24" xfId="7" applyFont="1" applyBorder="1" applyAlignment="1">
      <alignment horizontal="left" vertical="center"/>
    </xf>
    <xf numFmtId="2" fontId="20" fillId="0" borderId="0" xfId="7" applyNumberFormat="1" applyFont="1" applyAlignment="1">
      <alignment horizontal="center" vertical="center"/>
    </xf>
    <xf numFmtId="4" fontId="20" fillId="0" borderId="0" xfId="7" applyNumberFormat="1" applyFont="1" applyAlignment="1">
      <alignment horizontal="center" vertical="center" wrapText="1"/>
    </xf>
    <xf numFmtId="166" fontId="16" fillId="2" borderId="0" xfId="0" applyNumberFormat="1" applyFont="1" applyFill="1" applyAlignment="1">
      <alignment horizontal="center" vertical="center"/>
    </xf>
    <xf numFmtId="0" fontId="16" fillId="0" borderId="0" xfId="0" applyFont="1" applyAlignment="1">
      <alignment horizontal="center" vertical="center"/>
    </xf>
    <xf numFmtId="0" fontId="16" fillId="0" borderId="4" xfId="7" applyFont="1" applyBorder="1" applyAlignment="1">
      <alignment horizontal="left" vertical="center" wrapText="1"/>
    </xf>
    <xf numFmtId="1" fontId="16" fillId="2" borderId="0" xfId="0" applyNumberFormat="1" applyFont="1" applyFill="1" applyAlignment="1">
      <alignment horizontal="center" vertical="center"/>
    </xf>
    <xf numFmtId="0" fontId="20" fillId="0" borderId="4" xfId="0" applyFont="1" applyBorder="1" applyAlignment="1">
      <alignment horizontal="left" vertical="center"/>
    </xf>
    <xf numFmtId="0" fontId="20" fillId="0" borderId="0" xfId="7" applyFont="1" applyAlignment="1">
      <alignment horizontal="left" vertical="center"/>
    </xf>
    <xf numFmtId="4" fontId="16" fillId="0" borderId="0" xfId="7" applyNumberFormat="1" applyFont="1" applyAlignment="1">
      <alignment horizontal="center" wrapText="1"/>
    </xf>
    <xf numFmtId="4" fontId="16" fillId="0" borderId="0" xfId="7" applyNumberFormat="1" applyFont="1" applyAlignment="1">
      <alignment horizontal="center"/>
    </xf>
    <xf numFmtId="4" fontId="20" fillId="0" borderId="0" xfId="7" applyNumberFormat="1" applyFont="1" applyAlignment="1">
      <alignment vertical="center" wrapText="1"/>
    </xf>
    <xf numFmtId="0" fontId="20" fillId="0" borderId="0" xfId="7" applyFont="1" applyAlignment="1">
      <alignment vertical="center" wrapText="1"/>
    </xf>
    <xf numFmtId="0" fontId="23" fillId="0" borderId="24" xfId="8" applyFont="1" applyBorder="1" applyAlignment="1">
      <alignment horizontal="left"/>
    </xf>
    <xf numFmtId="0" fontId="23" fillId="0" borderId="0" xfId="8" applyFont="1" applyAlignment="1">
      <alignment horizontal="left"/>
    </xf>
    <xf numFmtId="0" fontId="20" fillId="0" borderId="0" xfId="7" applyFont="1" applyAlignment="1">
      <alignment horizontal="center" vertical="center" wrapText="1"/>
    </xf>
    <xf numFmtId="0" fontId="20" fillId="0" borderId="24" xfId="8" applyFont="1" applyBorder="1" applyAlignment="1">
      <alignment horizontal="left"/>
    </xf>
    <xf numFmtId="11" fontId="20" fillId="0" borderId="0" xfId="7" applyNumberFormat="1" applyFont="1" applyAlignment="1">
      <alignment horizontal="center" vertical="center"/>
    </xf>
    <xf numFmtId="11" fontId="20" fillId="0" borderId="0" xfId="7" applyNumberFormat="1" applyFont="1" applyAlignment="1">
      <alignment horizontal="center" vertical="center" wrapText="1"/>
    </xf>
    <xf numFmtId="11" fontId="20" fillId="2" borderId="0" xfId="7" applyNumberFormat="1" applyFont="1" applyFill="1" applyAlignment="1">
      <alignment horizontal="center" vertical="center" wrapText="1"/>
    </xf>
    <xf numFmtId="11" fontId="23" fillId="0" borderId="0" xfId="8" applyNumberFormat="1" applyFont="1" applyAlignment="1">
      <alignment horizontal="left"/>
    </xf>
    <xf numFmtId="11" fontId="16" fillId="0" borderId="0" xfId="7" applyNumberFormat="1" applyFont="1" applyAlignment="1">
      <alignment horizontal="center" wrapText="1"/>
    </xf>
    <xf numFmtId="2" fontId="20" fillId="0" borderId="0" xfId="7" applyNumberFormat="1" applyFont="1" applyAlignment="1">
      <alignment horizontal="center" vertical="center" wrapText="1"/>
    </xf>
    <xf numFmtId="4" fontId="20" fillId="2" borderId="0" xfId="7" applyNumberFormat="1" applyFont="1" applyFill="1" applyAlignment="1">
      <alignment horizontal="center" vertical="center" wrapText="1"/>
    </xf>
    <xf numFmtId="0" fontId="20" fillId="0" borderId="24" xfId="8" applyFont="1" applyBorder="1"/>
    <xf numFmtId="0" fontId="20" fillId="0" borderId="0" xfId="8" applyFont="1"/>
    <xf numFmtId="4" fontId="20" fillId="0" borderId="0" xfId="8" applyNumberFormat="1" applyFont="1" applyAlignment="1">
      <alignment horizontal="center"/>
    </xf>
    <xf numFmtId="0" fontId="20" fillId="0" borderId="24" xfId="8" applyFont="1" applyBorder="1" applyAlignment="1">
      <alignment vertical="center"/>
    </xf>
    <xf numFmtId="3" fontId="20" fillId="0" borderId="0" xfId="7" applyNumberFormat="1" applyFont="1" applyAlignment="1">
      <alignment horizontal="center" vertical="center" wrapText="1"/>
    </xf>
    <xf numFmtId="3" fontId="20" fillId="0" borderId="0" xfId="8" applyNumberFormat="1" applyFont="1" applyAlignment="1">
      <alignment horizontal="center" vertical="center"/>
    </xf>
    <xf numFmtId="0" fontId="16" fillId="0" borderId="0" xfId="7" quotePrefix="1" applyFont="1" applyAlignment="1">
      <alignment horizontal="center" vertical="center"/>
    </xf>
    <xf numFmtId="0" fontId="16" fillId="0" borderId="5" xfId="7" applyFont="1" applyBorder="1" applyAlignment="1">
      <alignment vertical="center"/>
    </xf>
    <xf numFmtId="0" fontId="16" fillId="0" borderId="5" xfId="7" applyFont="1" applyBorder="1" applyAlignment="1">
      <alignment horizontal="center" vertical="center" wrapText="1"/>
    </xf>
    <xf numFmtId="0" fontId="16" fillId="0" borderId="5" xfId="7" applyFont="1" applyBorder="1" applyAlignment="1">
      <alignment horizontal="center" vertical="center"/>
    </xf>
    <xf numFmtId="2" fontId="20" fillId="2" borderId="0" xfId="7" applyNumberFormat="1" applyFont="1" applyFill="1" applyAlignment="1">
      <alignment horizontal="center" vertical="center" wrapText="1"/>
    </xf>
    <xf numFmtId="165" fontId="16" fillId="0" borderId="0" xfId="7" applyNumberFormat="1" applyFont="1" applyAlignment="1">
      <alignment horizontal="left" vertical="center"/>
    </xf>
    <xf numFmtId="166" fontId="16" fillId="0" borderId="0" xfId="0" applyNumberFormat="1" applyFont="1" applyFill="1" applyAlignment="1">
      <alignment horizontal="center" vertical="center"/>
    </xf>
    <xf numFmtId="165" fontId="16" fillId="2" borderId="0" xfId="0" applyNumberFormat="1" applyFont="1" applyFill="1" applyAlignment="1">
      <alignment horizontal="center" vertical="center"/>
    </xf>
    <xf numFmtId="11" fontId="16" fillId="2" borderId="0" xfId="0" applyNumberFormat="1" applyFont="1" applyFill="1" applyAlignment="1">
      <alignment horizontal="center" vertical="center"/>
    </xf>
    <xf numFmtId="4" fontId="31" fillId="0" borderId="0" xfId="0" applyNumberFormat="1" applyFont="1" applyBorder="1" applyAlignment="1">
      <alignment horizontal="center"/>
    </xf>
    <xf numFmtId="4" fontId="44" fillId="4" borderId="0" xfId="0" quotePrefix="1" applyNumberFormat="1" applyFont="1" applyFill="1" applyBorder="1" applyAlignment="1">
      <alignment horizontal="center"/>
    </xf>
    <xf numFmtId="4" fontId="46" fillId="4" borderId="0" xfId="0" quotePrefix="1" applyNumberFormat="1" applyFont="1" applyFill="1" applyBorder="1" applyAlignment="1">
      <alignment horizontal="center"/>
    </xf>
    <xf numFmtId="4" fontId="31" fillId="0" borderId="0" xfId="0" quotePrefix="1" applyNumberFormat="1" applyFont="1" applyBorder="1" applyAlignment="1">
      <alignment horizontal="center"/>
    </xf>
    <xf numFmtId="4" fontId="31" fillId="4" borderId="0" xfId="0" applyNumberFormat="1" applyFont="1" applyFill="1" applyBorder="1" applyAlignment="1">
      <alignment horizontal="center"/>
    </xf>
    <xf numFmtId="3" fontId="31" fillId="0" borderId="0" xfId="0" applyNumberFormat="1" applyFont="1" applyFill="1" applyBorder="1" applyAlignment="1">
      <alignment horizontal="center"/>
    </xf>
    <xf numFmtId="11" fontId="31" fillId="0" borderId="0" xfId="0" applyNumberFormat="1" applyFont="1" applyFill="1" applyBorder="1" applyAlignment="1">
      <alignment horizontal="center"/>
    </xf>
    <xf numFmtId="3" fontId="28" fillId="0" borderId="0" xfId="2" applyNumberFormat="1" applyFont="1"/>
    <xf numFmtId="0" fontId="28" fillId="0" borderId="0" xfId="2" applyFont="1" applyAlignment="1">
      <alignment horizontal="right"/>
    </xf>
    <xf numFmtId="177" fontId="28" fillId="0" borderId="0" xfId="41" applyNumberFormat="1" applyFont="1" applyFill="1"/>
    <xf numFmtId="2" fontId="9" fillId="0" borderId="0" xfId="0" applyNumberFormat="1" applyFont="1" applyAlignment="1">
      <alignment horizontal="center"/>
    </xf>
    <xf numFmtId="11" fontId="9" fillId="0" borderId="0" xfId="0" applyNumberFormat="1" applyFont="1" applyAlignment="1">
      <alignment horizontal="center"/>
    </xf>
    <xf numFmtId="177" fontId="9" fillId="0" borderId="0" xfId="41" applyNumberFormat="1" applyFont="1" applyAlignment="1">
      <alignment horizontal="center"/>
    </xf>
    <xf numFmtId="11" fontId="31" fillId="0" borderId="0" xfId="0" quotePrefix="1" applyNumberFormat="1" applyFont="1" applyBorder="1" applyAlignment="1">
      <alignment horizontal="center"/>
    </xf>
    <xf numFmtId="0" fontId="10" fillId="0" borderId="0" xfId="0" applyFont="1" applyAlignment="1">
      <alignment horizontal="center"/>
    </xf>
    <xf numFmtId="0" fontId="10" fillId="0" borderId="0" xfId="0" applyFont="1"/>
    <xf numFmtId="0" fontId="67" fillId="0" borderId="0" xfId="0" applyFont="1" applyAlignment="1">
      <alignment horizontal="center"/>
    </xf>
    <xf numFmtId="0" fontId="28" fillId="0" borderId="0" xfId="0" applyFont="1" applyAlignment="1">
      <alignment horizontal="center"/>
    </xf>
    <xf numFmtId="177" fontId="28" fillId="12" borderId="0" xfId="41" applyNumberFormat="1" applyFont="1" applyFill="1"/>
    <xf numFmtId="0" fontId="68" fillId="0" borderId="30" xfId="0" applyFont="1" applyBorder="1"/>
    <xf numFmtId="0" fontId="13" fillId="0" borderId="0" xfId="7" applyFont="1" applyAlignment="1">
      <alignment vertical="center"/>
    </xf>
    <xf numFmtId="0" fontId="13" fillId="0" borderId="0" xfId="7" applyFont="1"/>
    <xf numFmtId="0" fontId="0" fillId="13" borderId="0" xfId="0" applyFill="1"/>
    <xf numFmtId="164" fontId="0" fillId="13" borderId="15" xfId="0" applyNumberFormat="1" applyFill="1" applyBorder="1"/>
    <xf numFmtId="0" fontId="68" fillId="0" borderId="0" xfId="0" applyFont="1"/>
    <xf numFmtId="0" fontId="69" fillId="0" borderId="5" xfId="0" applyFont="1" applyBorder="1"/>
    <xf numFmtId="164" fontId="69" fillId="0" borderId="30" xfId="0" applyNumberFormat="1" applyFont="1" applyBorder="1"/>
    <xf numFmtId="0" fontId="9" fillId="13" borderId="2" xfId="0" applyFont="1" applyFill="1" applyBorder="1" applyAlignment="1">
      <alignment horizontal="center"/>
    </xf>
    <xf numFmtId="0" fontId="9" fillId="13" borderId="0" xfId="0" applyFont="1" applyFill="1" applyBorder="1" applyAlignment="1">
      <alignment horizontal="center"/>
    </xf>
    <xf numFmtId="0" fontId="9" fillId="0" borderId="1" xfId="0" applyFont="1" applyFill="1" applyBorder="1"/>
    <xf numFmtId="0" fontId="10" fillId="0" borderId="0" xfId="7" applyFont="1" applyFill="1" applyAlignment="1">
      <alignment horizontal="center" vertical="center"/>
    </xf>
    <xf numFmtId="0" fontId="17" fillId="0" borderId="0" xfId="7" applyFont="1" applyFill="1" applyAlignment="1">
      <alignment horizontal="center" vertical="center" wrapText="1"/>
    </xf>
    <xf numFmtId="0" fontId="16" fillId="0" borderId="25" xfId="7" applyFont="1" applyFill="1" applyBorder="1" applyAlignment="1">
      <alignment wrapText="1"/>
    </xf>
    <xf numFmtId="0" fontId="16" fillId="0" borderId="5" xfId="7" applyFont="1" applyFill="1" applyBorder="1" applyAlignment="1">
      <alignment wrapText="1"/>
    </xf>
    <xf numFmtId="0" fontId="16" fillId="0" borderId="6" xfId="7" applyFont="1" applyFill="1" applyBorder="1" applyAlignment="1">
      <alignment horizontal="left" vertical="center" wrapText="1"/>
    </xf>
    <xf numFmtId="0" fontId="16" fillId="0" borderId="0" xfId="7" applyFont="1" applyFill="1" applyAlignment="1">
      <alignment wrapText="1"/>
    </xf>
    <xf numFmtId="0" fontId="28" fillId="0" borderId="0" xfId="7" applyFont="1" applyFill="1" applyAlignment="1">
      <alignment wrapText="1"/>
    </xf>
    <xf numFmtId="0" fontId="16" fillId="0" borderId="1" xfId="7" applyFont="1" applyFill="1" applyBorder="1" applyAlignment="1">
      <alignment wrapText="1"/>
    </xf>
    <xf numFmtId="0" fontId="16" fillId="0" borderId="2" xfId="7" applyFont="1" applyFill="1" applyBorder="1" applyAlignment="1">
      <alignment wrapText="1"/>
    </xf>
    <xf numFmtId="0" fontId="16" fillId="0" borderId="3" xfId="7" applyFont="1" applyFill="1" applyBorder="1" applyAlignment="1">
      <alignment horizontal="left" vertical="center" wrapText="1"/>
    </xf>
    <xf numFmtId="0" fontId="18" fillId="0" borderId="24" xfId="7" applyFont="1" applyFill="1" applyBorder="1" applyAlignment="1">
      <alignment wrapText="1"/>
    </xf>
    <xf numFmtId="0" fontId="18" fillId="0" borderId="0" xfId="7" applyFont="1" applyFill="1" applyBorder="1" applyAlignment="1">
      <alignment wrapText="1"/>
    </xf>
    <xf numFmtId="0" fontId="16" fillId="0" borderId="0" xfId="7" applyFont="1" applyAlignment="1">
      <alignment wrapText="1"/>
    </xf>
    <xf numFmtId="0" fontId="28" fillId="0" borderId="0" xfId="7" applyFont="1" applyAlignment="1">
      <alignment wrapText="1"/>
    </xf>
    <xf numFmtId="0" fontId="23" fillId="0" borderId="24" xfId="8" applyFont="1" applyFill="1" applyBorder="1" applyAlignment="1">
      <alignment horizontal="left" wrapText="1"/>
    </xf>
    <xf numFmtId="0" fontId="23" fillId="0" borderId="0" xfId="8" applyFont="1" applyFill="1" applyBorder="1" applyAlignment="1">
      <alignment horizontal="left" wrapText="1"/>
    </xf>
    <xf numFmtId="0" fontId="20" fillId="0" borderId="24" xfId="8" applyFont="1" applyFill="1" applyBorder="1" applyAlignment="1">
      <alignment horizontal="left" wrapText="1"/>
    </xf>
    <xf numFmtId="11" fontId="23" fillId="0" borderId="0" xfId="8" applyNumberFormat="1" applyFont="1" applyFill="1" applyBorder="1" applyAlignment="1">
      <alignment horizontal="left" wrapText="1"/>
    </xf>
    <xf numFmtId="0" fontId="13" fillId="0" borderId="0" xfId="0" applyFont="1"/>
    <xf numFmtId="0" fontId="13" fillId="0" borderId="0" xfId="0" applyFont="1" applyAlignment="1">
      <alignment wrapText="1"/>
    </xf>
    <xf numFmtId="1" fontId="28" fillId="0" borderId="0" xfId="0" applyNumberFormat="1" applyFont="1" applyAlignment="1"/>
    <xf numFmtId="0" fontId="13" fillId="0" borderId="0" xfId="7" applyFont="1" applyFill="1" applyAlignment="1">
      <alignment horizontal="right"/>
    </xf>
    <xf numFmtId="0" fontId="72" fillId="0" borderId="0" xfId="7" applyFont="1" applyFill="1" applyAlignment="1">
      <alignment horizontal="right"/>
    </xf>
    <xf numFmtId="164" fontId="20" fillId="0" borderId="5" xfId="7" applyNumberFormat="1" applyFont="1" applyFill="1" applyBorder="1" applyAlignment="1">
      <alignment horizontal="center" vertical="center"/>
    </xf>
    <xf numFmtId="178" fontId="20" fillId="2" borderId="0" xfId="9" applyNumberFormat="1" applyFont="1" applyFill="1" applyBorder="1" applyAlignment="1">
      <alignment horizontal="center" vertical="center"/>
    </xf>
    <xf numFmtId="0" fontId="57" fillId="0" borderId="0" xfId="0" applyFont="1"/>
    <xf numFmtId="164" fontId="20" fillId="0" borderId="0" xfId="7" applyNumberFormat="1" applyFont="1" applyFill="1" applyBorder="1" applyAlignment="1">
      <alignment horizontal="center" vertical="center"/>
    </xf>
    <xf numFmtId="168" fontId="20" fillId="0" borderId="5" xfId="7" applyNumberFormat="1" applyFont="1" applyFill="1" applyBorder="1" applyAlignment="1">
      <alignment horizontal="center" vertical="center" wrapText="1"/>
    </xf>
    <xf numFmtId="164" fontId="14" fillId="0" borderId="0" xfId="0" quotePrefix="1" applyNumberFormat="1" applyFont="1" applyFill="1" applyBorder="1" applyAlignment="1">
      <alignment horizontal="center" vertical="center"/>
    </xf>
    <xf numFmtId="0" fontId="68" fillId="0" borderId="0" xfId="0" applyFont="1" applyAlignment="1">
      <alignment wrapText="1"/>
    </xf>
    <xf numFmtId="0" fontId="68" fillId="0" borderId="24" xfId="0" applyFont="1" applyBorder="1" applyAlignment="1">
      <alignment wrapText="1"/>
    </xf>
    <xf numFmtId="0" fontId="73" fillId="3" borderId="0" xfId="4" applyFont="1" applyFill="1" applyBorder="1"/>
    <xf numFmtId="0" fontId="73" fillId="3" borderId="0" xfId="4" applyFont="1" applyFill="1"/>
    <xf numFmtId="0" fontId="13" fillId="0" borderId="0" xfId="7" applyFont="1" applyAlignment="1">
      <alignment horizontal="center"/>
    </xf>
    <xf numFmtId="0" fontId="14" fillId="0" borderId="0" xfId="0" applyFont="1" applyAlignment="1">
      <alignment horizontal="center"/>
    </xf>
    <xf numFmtId="0" fontId="9" fillId="0" borderId="0" xfId="0" applyFont="1" applyFill="1" applyAlignment="1">
      <alignment horizontal="right" vertical="center"/>
    </xf>
    <xf numFmtId="0" fontId="9" fillId="0" borderId="28"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17" fillId="0" borderId="28" xfId="0" applyFont="1" applyFill="1" applyBorder="1" applyAlignment="1">
      <alignment horizontal="center" vertical="center" wrapText="1"/>
    </xf>
    <xf numFmtId="0" fontId="17" fillId="0" borderId="15" xfId="0" applyFont="1" applyFill="1" applyBorder="1" applyAlignment="1">
      <alignment horizontal="center" vertical="center" wrapText="1"/>
    </xf>
    <xf numFmtId="1" fontId="17" fillId="0" borderId="28" xfId="0" applyNumberFormat="1" applyFont="1" applyFill="1" applyBorder="1" applyAlignment="1">
      <alignment horizontal="center" vertical="center" wrapText="1"/>
    </xf>
    <xf numFmtId="1" fontId="17" fillId="0" borderId="4" xfId="0" applyNumberFormat="1" applyFont="1" applyFill="1" applyBorder="1" applyAlignment="1">
      <alignment horizontal="center" vertical="center" wrapText="1"/>
    </xf>
    <xf numFmtId="0" fontId="10" fillId="0" borderId="0" xfId="7" applyFont="1" applyFill="1" applyAlignment="1">
      <alignment horizontal="center" vertical="center"/>
    </xf>
    <xf numFmtId="0" fontId="13" fillId="0" borderId="24" xfId="7" applyFont="1" applyFill="1" applyBorder="1" applyAlignment="1">
      <alignment wrapText="1"/>
    </xf>
    <xf numFmtId="0" fontId="68" fillId="0" borderId="0" xfId="0" applyFont="1" applyAlignment="1">
      <alignment wrapText="1"/>
    </xf>
    <xf numFmtId="0" fontId="68" fillId="0" borderId="24" xfId="0" applyFont="1" applyBorder="1" applyAlignment="1">
      <alignment wrapText="1"/>
    </xf>
    <xf numFmtId="0" fontId="14" fillId="0" borderId="24" xfId="7" applyFont="1" applyBorder="1" applyAlignment="1">
      <alignment vertical="center" wrapText="1"/>
    </xf>
    <xf numFmtId="0" fontId="69" fillId="0" borderId="0" xfId="0" applyFont="1" applyAlignment="1">
      <alignment vertical="center" wrapText="1"/>
    </xf>
    <xf numFmtId="0" fontId="69" fillId="0" borderId="24" xfId="0" applyFont="1" applyBorder="1" applyAlignment="1">
      <alignment vertical="center" wrapText="1"/>
    </xf>
    <xf numFmtId="0" fontId="10" fillId="0" borderId="0" xfId="7" applyFont="1" applyFill="1" applyAlignment="1">
      <alignment horizontal="center" vertical="center" wrapText="1"/>
    </xf>
    <xf numFmtId="0" fontId="13" fillId="0" borderId="24" xfId="0" applyFont="1" applyFill="1" applyBorder="1" applyAlignment="1">
      <alignment wrapText="1"/>
    </xf>
    <xf numFmtId="0" fontId="0" fillId="0" borderId="0" xfId="0" applyAlignment="1">
      <alignment wrapText="1"/>
    </xf>
    <xf numFmtId="0" fontId="0" fillId="0" borderId="24" xfId="0" applyBorder="1" applyAlignment="1">
      <alignment wrapText="1"/>
    </xf>
    <xf numFmtId="0" fontId="13" fillId="0" borderId="0" xfId="0" applyFont="1" applyAlignment="1">
      <alignment wrapText="1"/>
    </xf>
    <xf numFmtId="0" fontId="68" fillId="0" borderId="0" xfId="0" applyFont="1" applyAlignment="1"/>
    <xf numFmtId="0" fontId="13" fillId="0" borderId="24" xfId="7" applyFont="1" applyFill="1" applyBorder="1" applyAlignment="1">
      <alignment horizontal="center" wrapText="1"/>
    </xf>
    <xf numFmtId="0" fontId="13" fillId="0" borderId="0" xfId="7" applyFont="1" applyFill="1" applyBorder="1" applyAlignment="1">
      <alignment horizontal="center" wrapText="1"/>
    </xf>
    <xf numFmtId="0" fontId="13" fillId="3" borderId="0" xfId="4" applyFont="1" applyFill="1" applyBorder="1" applyAlignment="1">
      <alignment horizontal="left"/>
    </xf>
    <xf numFmtId="0" fontId="29" fillId="0" borderId="24" xfId="0" applyFont="1" applyBorder="1" applyAlignment="1">
      <alignment horizontal="left" vertical="center"/>
    </xf>
    <xf numFmtId="0" fontId="29" fillId="0" borderId="0" xfId="0" applyFont="1" applyBorder="1" applyAlignment="1">
      <alignment horizontal="center" vertical="center"/>
    </xf>
    <xf numFmtId="0" fontId="24" fillId="0" borderId="0" xfId="0" applyFont="1" applyBorder="1" applyAlignment="1">
      <alignment horizontal="center"/>
    </xf>
    <xf numFmtId="0" fontId="20" fillId="0" borderId="0" xfId="14" applyFont="1" applyAlignment="1">
      <alignment horizontal="left" vertical="center" wrapText="1"/>
    </xf>
    <xf numFmtId="0" fontId="24" fillId="0" borderId="0" xfId="14" applyFont="1" applyAlignment="1">
      <alignment horizontal="center"/>
    </xf>
    <xf numFmtId="1" fontId="20" fillId="0" borderId="0" xfId="14" applyNumberFormat="1" applyFont="1" applyAlignment="1">
      <alignment horizontal="left" wrapText="1"/>
    </xf>
    <xf numFmtId="0" fontId="24" fillId="0" borderId="0" xfId="0" applyFont="1" applyBorder="1" applyAlignment="1">
      <alignment horizontal="center" vertical="center"/>
    </xf>
    <xf numFmtId="0" fontId="29" fillId="0" borderId="4" xfId="0" applyFont="1" applyBorder="1" applyAlignment="1">
      <alignment horizontal="center" vertical="center"/>
    </xf>
    <xf numFmtId="0" fontId="20" fillId="0" borderId="0" xfId="0" applyFont="1" applyAlignment="1">
      <alignment horizontal="left" vertical="top" wrapText="1"/>
    </xf>
    <xf numFmtId="0" fontId="14" fillId="0" borderId="0" xfId="0" applyFont="1" applyAlignment="1">
      <alignment horizontal="center" wrapText="1"/>
    </xf>
    <xf numFmtId="0" fontId="33" fillId="0" borderId="7" xfId="0" quotePrefix="1" applyFont="1" applyBorder="1" applyAlignment="1">
      <alignment horizontal="center" vertical="top"/>
    </xf>
    <xf numFmtId="0" fontId="10" fillId="0" borderId="0" xfId="0" applyFont="1" applyAlignment="1">
      <alignment horizontal="center" vertical="center"/>
    </xf>
    <xf numFmtId="0" fontId="31" fillId="0" borderId="7" xfId="0" quotePrefix="1" applyFont="1" applyBorder="1" applyAlignment="1">
      <alignment horizontal="center" vertical="top"/>
    </xf>
    <xf numFmtId="0" fontId="31" fillId="0" borderId="1" xfId="0" applyFont="1" applyBorder="1" applyAlignment="1">
      <alignment horizontal="center"/>
    </xf>
    <xf numFmtId="0" fontId="31" fillId="0" borderId="3" xfId="0" applyFont="1" applyBorder="1" applyAlignment="1">
      <alignment horizontal="center"/>
    </xf>
    <xf numFmtId="0" fontId="31" fillId="0" borderId="0" xfId="0" applyFont="1" applyBorder="1" applyAlignment="1">
      <alignment horizontal="center"/>
    </xf>
    <xf numFmtId="0" fontId="31" fillId="0" borderId="24" xfId="0" applyFont="1" applyBorder="1" applyAlignment="1">
      <alignment horizontal="center" vertical="center" wrapText="1"/>
    </xf>
    <xf numFmtId="0" fontId="31" fillId="0" borderId="7" xfId="0" applyFont="1" applyBorder="1" applyAlignment="1">
      <alignment horizontal="center" vertical="center"/>
    </xf>
    <xf numFmtId="0" fontId="31" fillId="0" borderId="5" xfId="0" applyFont="1" applyBorder="1" applyAlignment="1">
      <alignment horizontal="center"/>
    </xf>
    <xf numFmtId="0" fontId="31" fillId="0" borderId="6" xfId="0" applyFont="1" applyBorder="1" applyAlignment="1">
      <alignment horizontal="center"/>
    </xf>
    <xf numFmtId="0" fontId="31" fillId="0" borderId="4" xfId="0" applyFont="1" applyBorder="1" applyAlignment="1">
      <alignment horizontal="center"/>
    </xf>
    <xf numFmtId="0" fontId="31" fillId="0" borderId="0" xfId="0" applyFont="1" applyFill="1" applyBorder="1" applyAlignment="1">
      <alignment horizontal="center"/>
    </xf>
    <xf numFmtId="0" fontId="29" fillId="0" borderId="1" xfId="0" applyFont="1" applyBorder="1" applyAlignment="1">
      <alignment horizontal="center"/>
    </xf>
    <xf numFmtId="0" fontId="29" fillId="0" borderId="2" xfId="0" applyFont="1" applyBorder="1" applyAlignment="1">
      <alignment horizont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0" fillId="0" borderId="0" xfId="0" applyAlignment="1">
      <alignment horizontal="center"/>
    </xf>
    <xf numFmtId="0" fontId="0" fillId="0" borderId="15" xfId="0" applyBorder="1" applyAlignment="1">
      <alignment horizontal="center"/>
    </xf>
    <xf numFmtId="0" fontId="0" fillId="0" borderId="4"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57" fillId="0" borderId="0" xfId="0" applyFont="1" applyAlignment="1">
      <alignment horizontal="center"/>
    </xf>
  </cellXfs>
  <cellStyles count="42">
    <cellStyle name="_Rid_6_S378_S129_S128" xfId="25" xr:uid="{C2E60DCF-05AF-412F-B20A-2AED717C23DE}"/>
    <cellStyle name="_Rid_6_S378_S129_S141" xfId="27" xr:uid="{49FA499F-B38E-4219-9664-156938C534BE}"/>
    <cellStyle name="_Rid_6_S378_S131_S130" xfId="26" xr:uid="{B222B1CA-6A99-4250-8562-307ACDB1D6C6}"/>
    <cellStyle name="_Rid_6_S378_S180" xfId="28" xr:uid="{9FA0BDC3-FB7B-4A67-8691-9136AF6DB84B}"/>
    <cellStyle name="_Rid_6_S378_S181" xfId="29" xr:uid="{8163D3FD-4EE4-4CBD-A7F6-DA0F89068507}"/>
    <cellStyle name="_Rid_6_S378_S2_S1" xfId="15" xr:uid="{837F2F17-1C2F-4183-923B-A46116CBB584}"/>
    <cellStyle name="_Rid_6_S378_S200" xfId="30" xr:uid="{0B4F83B7-0EF4-4EF2-9405-1669F84213B1}"/>
    <cellStyle name="_Rid_6_S378_S203_S202" xfId="31" xr:uid="{9899E201-B8B4-47E3-9B5C-36AF00234BC9}"/>
    <cellStyle name="_Rid_6_S378_S204" xfId="32" xr:uid="{74F9AF59-2E87-4603-A8EB-38E2657FDECC}"/>
    <cellStyle name="_Rid_6_S378_S223" xfId="33" xr:uid="{99B747A2-0CE4-4D5F-AB61-52021453A392}"/>
    <cellStyle name="_Rid_6_S378_S228_S225" xfId="34" xr:uid="{42FCB8D4-F84F-41AD-BDF4-57564F2FCAD3}"/>
    <cellStyle name="_Rid_6_S378_S229" xfId="35" xr:uid="{4985036A-63E6-46B7-AD80-AEF82B21805B}"/>
    <cellStyle name="_Rid_6_S378_S248" xfId="36" xr:uid="{3E639D97-978B-4EBD-A011-4163F91BF3B3}"/>
    <cellStyle name="_Rid_6_S378_S356_S354" xfId="37" xr:uid="{E8710BB3-324A-4C44-9EC0-D04D76678782}"/>
    <cellStyle name="_Rid_6_S378_S357" xfId="38" xr:uid="{8495082A-F1EE-479B-938F-D567190A718F}"/>
    <cellStyle name="_Rid_6_S378_S376" xfId="39" xr:uid="{68BFF046-64F1-4C95-95D7-F99E97F9CBE6}"/>
    <cellStyle name="_Rid_6_S378_S4_S3" xfId="16" xr:uid="{CD7D17A2-8959-4CF7-9A36-81FFED3E15D6}"/>
    <cellStyle name="_Rid_6_S378_S45_S44" xfId="17" xr:uid="{8D11F5C0-9936-4C6B-9EA4-8DF2621E20B9}"/>
    <cellStyle name="_Rid_6_S378_S46" xfId="18" xr:uid="{4FCD58D6-FE7E-4987-B02C-7410FA21EDD3}"/>
    <cellStyle name="_Rid_6_S378_S65" xfId="19" xr:uid="{9D4419A1-960C-49ED-AC67-7C91EAAABAF6}"/>
    <cellStyle name="_Rid_6_S378_S68_S67" xfId="20" xr:uid="{4EC93A3D-CD54-4201-874D-DD583CFE7524}"/>
    <cellStyle name="_Rid_6_S378_S69" xfId="21" xr:uid="{0CAE2A6C-CD2E-4628-AA28-DB9071DE5CA8}"/>
    <cellStyle name="_Rid_6_S378_S88" xfId="22" xr:uid="{542306A0-6738-4137-85A0-F8A6082C7402}"/>
    <cellStyle name="_Rid_6_S378_S91_S90" xfId="23" xr:uid="{5D38B3F9-71F0-4C11-8A03-7CB403806574}"/>
    <cellStyle name="_Rid_6_S378_S93_S92" xfId="24" xr:uid="{EC65A1B3-9772-412C-AEE7-392FBA3FE2CA}"/>
    <cellStyle name="Comma" xfId="41" builtinId="3"/>
    <cellStyle name="Comma 2" xfId="5" xr:uid="{00000000-0005-0000-0000-000001000000}"/>
    <cellStyle name="Comma 3 2" xfId="3" xr:uid="{00000000-0005-0000-0000-000002000000}"/>
    <cellStyle name="Comma_BoilerCalc" xfId="9" xr:uid="{00000000-0005-0000-0000-000003000000}"/>
    <cellStyle name="Currency" xfId="10" builtinId="4"/>
    <cellStyle name="Normal" xfId="0" builtinId="0"/>
    <cellStyle name="Normal 2" xfId="6" xr:uid="{00000000-0005-0000-0000-000006000000}"/>
    <cellStyle name="Normal 3" xfId="12" xr:uid="{00000000-0005-0000-0000-000007000000}"/>
    <cellStyle name="Normal 3 2" xfId="1" xr:uid="{00000000-0005-0000-0000-000008000000}"/>
    <cellStyle name="Normal 3 2 2" xfId="4" xr:uid="{00000000-0005-0000-0000-000009000000}"/>
    <cellStyle name="Normal 4 2" xfId="7" xr:uid="{00000000-0005-0000-0000-00000A000000}"/>
    <cellStyle name="Normal 6" xfId="2" xr:uid="{00000000-0005-0000-0000-00000B000000}"/>
    <cellStyle name="Normal 69 2" xfId="40" xr:uid="{A69FBB63-7EC6-4FD5-9FAF-596C6EDFE9BF}"/>
    <cellStyle name="Normal 7" xfId="14" xr:uid="{D25B21E6-A862-41A5-BE8A-7541174A8335}"/>
    <cellStyle name="Normal_BoilerCalc" xfId="8" xr:uid="{00000000-0005-0000-0000-00000C000000}"/>
    <cellStyle name="Percent" xfId="11" builtinId="5"/>
    <cellStyle name="Percent 2" xfId="13" xr:uid="{00000000-0005-0000-0000-000010000000}"/>
  </cellStyles>
  <dxfs count="0"/>
  <tableStyles count="0" defaultTableStyle="TableStyleMedium2" defaultPivotStyle="PivotStyleLight16"/>
  <colors>
    <mruColors>
      <color rgb="FFFF99FF"/>
      <color rgb="FFFFFF99"/>
      <color rgb="FFFFCCFF"/>
      <color rgb="FF00FF0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XCEL\EMISSION\2002%20emission%20inventory\CaneRun2003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2006\063601.0022%20-%20Sunoco%20Neal%20-%20TRI%20Reporting\Dated%20Versions\November\Copy%20of%20Flare%20Calcs.%20for%20101%20tank%20high%20pressures,11-3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ISSIONS"/>
      <sheetName val="quest"/>
      <sheetName val="mh-stor pile"/>
      <sheetName val="db-combst"/>
      <sheetName val="db-mathand"/>
      <sheetName val="db-matstor"/>
      <sheetName val="txt ref"/>
      <sheetName val="calc-combst"/>
      <sheetName val="calc-intrm"/>
      <sheetName val="calc-mat stor"/>
      <sheetName val="mh-crush"/>
      <sheetName val="mh-drop pnt"/>
      <sheetName val="mh-silo"/>
      <sheetName val="mh-wind"/>
      <sheetName val="mh-sumry"/>
      <sheetName val="Notes"/>
      <sheetName val="print"/>
      <sheetName val="Module1"/>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01 B,E,F calcs"/>
      <sheetName val="Flare Calcs. for F101AA-D"/>
      <sheetName val="Flare Summary"/>
    </sheetNames>
    <sheetDataSet>
      <sheetData sheetId="0">
        <row r="1">
          <cell r="F1"/>
          <cell r="G1" t="str">
            <v>AR11RLC2.PV</v>
          </cell>
          <cell r="H1" t="str">
            <v>AR11RRC2.PV</v>
          </cell>
          <cell r="I1" t="str">
            <v>AR1FAC2S.PV</v>
          </cell>
          <cell r="J1" t="str">
            <v>AR11RLC3.PV</v>
          </cell>
          <cell r="K1" t="str">
            <v>AR11RRC3.PV</v>
          </cell>
          <cell r="L1" t="str">
            <v>AR1FAC3.PV</v>
          </cell>
          <cell r="M1" t="str">
            <v>AR11RLC4.PV</v>
          </cell>
          <cell r="N1" t="str">
            <v>AR11RRC4.PV</v>
          </cell>
          <cell r="O1" t="str">
            <v>AR1FAC4S.PV</v>
          </cell>
          <cell r="P1" t="str">
            <v>AR1FAC_3.PV</v>
          </cell>
          <cell r="Q1" t="str">
            <v>PI10103.PV</v>
          </cell>
          <cell r="R1" t="str">
            <v>PI10301.PV</v>
          </cell>
          <cell r="S1" t="str">
            <v>PI10302.PV</v>
          </cell>
          <cell r="T1" t="str">
            <v>TIAFL11.PV</v>
          </cell>
        </row>
        <row r="2">
          <cell r="F2" t="str">
            <v>Timestamp</v>
          </cell>
          <cell r="G2" t="str">
            <v>AR11RLC2.PV - SnapShot</v>
          </cell>
          <cell r="H2" t="str">
            <v>AR11RRC2.PV - SnapShot</v>
          </cell>
          <cell r="I2" t="str">
            <v>AR1FAC2S.PV - SnapShot</v>
          </cell>
          <cell r="J2" t="str">
            <v>AR11RLC3.PV - SnapShot</v>
          </cell>
          <cell r="K2" t="str">
            <v>AR11RRC3.PV - SnapShot</v>
          </cell>
          <cell r="L2" t="str">
            <v>AR1FAC3.PV - SnapShot</v>
          </cell>
          <cell r="M2" t="str">
            <v>AR11RLC4.PV - SnapShot</v>
          </cell>
          <cell r="N2" t="str">
            <v>AR11RRC4.PV - SnapShot</v>
          </cell>
          <cell r="O2" t="str">
            <v>AR1FAC4S.PV - SnapShot</v>
          </cell>
          <cell r="P2" t="str">
            <v>AR1FAC_3.PV - SnapShot</v>
          </cell>
          <cell r="Q2" t="str">
            <v>PI10103.PV - SnapShot</v>
          </cell>
          <cell r="R2" t="str">
            <v>PI10301.PV - SnapShot</v>
          </cell>
          <cell r="S2" t="str">
            <v>PI10302.PV - SnapShot</v>
          </cell>
          <cell r="T2" t="str">
            <v>TIAFL11.PV - SnapShot</v>
          </cell>
        </row>
        <row r="3">
          <cell r="F3">
            <v>38321.645833333336</v>
          </cell>
          <cell r="G3">
            <v>0.22400000691413879</v>
          </cell>
          <cell r="H3">
            <v>0.16150000691413879</v>
          </cell>
          <cell r="I3">
            <v>1.3000000268220901E-2</v>
          </cell>
          <cell r="J3">
            <v>14.375</v>
          </cell>
          <cell r="K3">
            <v>5.8599996566772461</v>
          </cell>
          <cell r="L3">
            <v>21.289999008178711</v>
          </cell>
          <cell r="M3">
            <v>2.4500001221895218E-2</v>
          </cell>
          <cell r="N3">
            <v>2.5000001769512892E-3</v>
          </cell>
          <cell r="O3">
            <v>0.35400000214576721</v>
          </cell>
          <cell r="P3">
            <v>77.239997863769531</v>
          </cell>
          <cell r="Q3">
            <v>210.51901245117188</v>
          </cell>
          <cell r="R3">
            <v>149.593994140625</v>
          </cell>
          <cell r="S3">
            <v>147.36260986328125</v>
          </cell>
          <cell r="T3">
            <v>49.521682739257813</v>
          </cell>
        </row>
        <row r="4">
          <cell r="F4">
            <v>38321.649305555555</v>
          </cell>
          <cell r="G4">
            <v>0.226500004529953</v>
          </cell>
          <cell r="H4">
            <v>0.16150000691413879</v>
          </cell>
          <cell r="I4">
            <v>1.100000087171793E-2</v>
          </cell>
          <cell r="J4">
            <v>14.524999618530273</v>
          </cell>
          <cell r="K4">
            <v>5.8599996566772461</v>
          </cell>
          <cell r="L4">
            <v>21.170000076293945</v>
          </cell>
          <cell r="M4">
            <v>2.3000001907348633E-2</v>
          </cell>
          <cell r="N4">
            <v>2.5000001769512892E-3</v>
          </cell>
          <cell r="O4">
            <v>0.34950003027915955</v>
          </cell>
          <cell r="P4">
            <v>77.080001831054688</v>
          </cell>
          <cell r="Q4">
            <v>210.49076843261719</v>
          </cell>
          <cell r="R4">
            <v>149.50924682617188</v>
          </cell>
          <cell r="S4">
            <v>147.27789306640625</v>
          </cell>
          <cell r="T4">
            <v>49.473300933837891</v>
          </cell>
        </row>
        <row r="5">
          <cell r="F5">
            <v>38321.652777777781</v>
          </cell>
          <cell r="G5">
            <v>0.226500004529953</v>
          </cell>
          <cell r="H5">
            <v>0.16250000894069672</v>
          </cell>
          <cell r="I5">
            <v>1.100000087171793E-2</v>
          </cell>
          <cell r="J5">
            <v>14.524999618530273</v>
          </cell>
          <cell r="K5">
            <v>5.679999828338623</v>
          </cell>
          <cell r="L5">
            <v>21.170000076293945</v>
          </cell>
          <cell r="M5">
            <v>2.3000001907348633E-2</v>
          </cell>
          <cell r="N5">
            <v>4.5000002719461918E-3</v>
          </cell>
          <cell r="O5">
            <v>0.34950003027915955</v>
          </cell>
          <cell r="P5">
            <v>77.080001831054688</v>
          </cell>
          <cell r="Q5">
            <v>210.40603637695313</v>
          </cell>
          <cell r="R5">
            <v>149.48101806640625</v>
          </cell>
          <cell r="S5">
            <v>147.30612182617188</v>
          </cell>
          <cell r="T5">
            <v>49.43548583984375</v>
          </cell>
        </row>
        <row r="6">
          <cell r="F6">
            <v>38321.65625</v>
          </cell>
          <cell r="G6">
            <v>0.226500004529953</v>
          </cell>
          <cell r="H6">
            <v>0.16250000894069672</v>
          </cell>
          <cell r="I6">
            <v>1.100000087171793E-2</v>
          </cell>
          <cell r="J6">
            <v>14.524999618530273</v>
          </cell>
          <cell r="K6">
            <v>5.679999828338623</v>
          </cell>
          <cell r="L6">
            <v>21.170000076293945</v>
          </cell>
          <cell r="M6">
            <v>2.3000001907348633E-2</v>
          </cell>
          <cell r="N6">
            <v>4.5000002719461918E-3</v>
          </cell>
          <cell r="O6">
            <v>0.34950003027915955</v>
          </cell>
          <cell r="P6">
            <v>77.080001831054688</v>
          </cell>
          <cell r="Q6">
            <v>210.32130432128906</v>
          </cell>
          <cell r="R6">
            <v>149.50924682617188</v>
          </cell>
          <cell r="S6">
            <v>147.36260986328125</v>
          </cell>
          <cell r="T6">
            <v>49.287685394287109</v>
          </cell>
        </row>
        <row r="7">
          <cell r="F7">
            <v>38321.659722222219</v>
          </cell>
          <cell r="G7">
            <v>0.226500004529953</v>
          </cell>
          <cell r="H7">
            <v>0.16250000894069672</v>
          </cell>
          <cell r="I7">
            <v>1.100000087171793E-2</v>
          </cell>
          <cell r="J7">
            <v>14.394999504089355</v>
          </cell>
          <cell r="K7">
            <v>5.679999828338623</v>
          </cell>
          <cell r="L7">
            <v>21.170000076293945</v>
          </cell>
          <cell r="M7">
            <v>2.4000000208616257E-2</v>
          </cell>
          <cell r="N7">
            <v>4.5000002719461918E-3</v>
          </cell>
          <cell r="O7">
            <v>0.34950003027915955</v>
          </cell>
          <cell r="P7">
            <v>77.080001831054688</v>
          </cell>
          <cell r="Q7">
            <v>210.29306030273438</v>
          </cell>
          <cell r="R7">
            <v>149.53750610351563</v>
          </cell>
          <cell r="S7">
            <v>147.39085388183594</v>
          </cell>
          <cell r="T7">
            <v>49.127574920654297</v>
          </cell>
        </row>
        <row r="8">
          <cell r="F8">
            <v>38321.663194444445</v>
          </cell>
          <cell r="G8">
            <v>0.226500004529953</v>
          </cell>
          <cell r="H8">
            <v>0.16250000894069672</v>
          </cell>
          <cell r="I8">
            <v>1.100000087171793E-2</v>
          </cell>
          <cell r="J8">
            <v>14.394999504089355</v>
          </cell>
          <cell r="K8">
            <v>5.679999828338623</v>
          </cell>
          <cell r="L8">
            <v>21.170000076293945</v>
          </cell>
          <cell r="M8">
            <v>2.4000000208616257E-2</v>
          </cell>
          <cell r="N8">
            <v>4.5000002719461918E-3</v>
          </cell>
          <cell r="O8">
            <v>0.34950003027915955</v>
          </cell>
          <cell r="P8">
            <v>77.080001831054688</v>
          </cell>
          <cell r="Q8">
            <v>210.32130432128906</v>
          </cell>
          <cell r="R8">
            <v>149.593994140625</v>
          </cell>
          <cell r="S8">
            <v>147.41911315917969</v>
          </cell>
          <cell r="T8">
            <v>49.155292510986328</v>
          </cell>
        </row>
        <row r="9">
          <cell r="F9">
            <v>38321.666666666664</v>
          </cell>
          <cell r="G9">
            <v>0.226500004529953</v>
          </cell>
          <cell r="H9">
            <v>5.1500003784894943E-2</v>
          </cell>
          <cell r="I9">
            <v>1.100000087171793E-2</v>
          </cell>
          <cell r="J9">
            <v>14.394999504089355</v>
          </cell>
          <cell r="K9">
            <v>6.869999885559082</v>
          </cell>
          <cell r="L9">
            <v>21.170000076293945</v>
          </cell>
          <cell r="M9">
            <v>2.4000000208616257E-2</v>
          </cell>
          <cell r="N9">
            <v>1.100000087171793E-2</v>
          </cell>
          <cell r="O9">
            <v>0.34950003027915955</v>
          </cell>
          <cell r="P9">
            <v>77.080001831054688</v>
          </cell>
          <cell r="Q9">
            <v>210.34954833984375</v>
          </cell>
          <cell r="R9">
            <v>149.70697021484375</v>
          </cell>
          <cell r="S9">
            <v>147.58857727050781</v>
          </cell>
          <cell r="T9">
            <v>48.967487335205078</v>
          </cell>
        </row>
        <row r="10">
          <cell r="F10">
            <v>38321.670138888891</v>
          </cell>
          <cell r="G10">
            <v>0.22350001335144043</v>
          </cell>
          <cell r="H10">
            <v>5.1500003784894943E-2</v>
          </cell>
          <cell r="I10">
            <v>1.100000087171793E-2</v>
          </cell>
          <cell r="J10">
            <v>14.364999771118164</v>
          </cell>
          <cell r="K10">
            <v>6.869999885559082</v>
          </cell>
          <cell r="L10">
            <v>21.430000305175781</v>
          </cell>
          <cell r="M10">
            <v>2.4500001221895218E-2</v>
          </cell>
          <cell r="N10">
            <v>1.100000087171793E-2</v>
          </cell>
          <cell r="O10">
            <v>0.32100000977516174</v>
          </cell>
          <cell r="P10">
            <v>77.30999755859375</v>
          </cell>
          <cell r="Q10">
            <v>210.34954833984375</v>
          </cell>
          <cell r="R10">
            <v>149.73521423339844</v>
          </cell>
          <cell r="S10">
            <v>147.6168212890625</v>
          </cell>
          <cell r="T10">
            <v>48.93231201171875</v>
          </cell>
        </row>
        <row r="11">
          <cell r="F11">
            <v>38321.673611111109</v>
          </cell>
          <cell r="G11">
            <v>0.22350001335144043</v>
          </cell>
          <cell r="H11">
            <v>5.1500003784894943E-2</v>
          </cell>
          <cell r="I11">
            <v>1.100000087171793E-2</v>
          </cell>
          <cell r="J11">
            <v>14.364999771118164</v>
          </cell>
          <cell r="K11">
            <v>6.869999885559082</v>
          </cell>
          <cell r="L11">
            <v>21.430000305175781</v>
          </cell>
          <cell r="M11">
            <v>2.4500001221895218E-2</v>
          </cell>
          <cell r="N11">
            <v>1.100000087171793E-2</v>
          </cell>
          <cell r="O11">
            <v>0.32100000977516174</v>
          </cell>
          <cell r="P11">
            <v>77.30999755859375</v>
          </cell>
          <cell r="Q11">
            <v>210.32130432128906</v>
          </cell>
          <cell r="R11">
            <v>148.492431640625</v>
          </cell>
          <cell r="S11">
            <v>146.40226745605469</v>
          </cell>
          <cell r="T11">
            <v>48.930553436279297</v>
          </cell>
        </row>
        <row r="12">
          <cell r="F12">
            <v>38321.677083333336</v>
          </cell>
          <cell r="G12">
            <v>0.22350001335144043</v>
          </cell>
          <cell r="H12">
            <v>5.1500003784894943E-2</v>
          </cell>
          <cell r="I12">
            <v>1.100000087171793E-2</v>
          </cell>
          <cell r="J12">
            <v>14.364999771118164</v>
          </cell>
          <cell r="K12">
            <v>6.8849997520446777</v>
          </cell>
          <cell r="L12">
            <v>21.430000305175781</v>
          </cell>
          <cell r="M12">
            <v>2.4500001221895218E-2</v>
          </cell>
          <cell r="N12">
            <v>3.0000000260770321E-3</v>
          </cell>
          <cell r="O12">
            <v>0.32100000977516174</v>
          </cell>
          <cell r="P12">
            <v>77.30999755859375</v>
          </cell>
          <cell r="Q12">
            <v>210.29306030273438</v>
          </cell>
          <cell r="R12">
            <v>147.22137451171875</v>
          </cell>
          <cell r="S12">
            <v>145.13124084472656</v>
          </cell>
          <cell r="T12">
            <v>48.942840576171875</v>
          </cell>
        </row>
        <row r="13">
          <cell r="F13">
            <v>38321.680555555555</v>
          </cell>
          <cell r="G13">
            <v>0.21900001168251038</v>
          </cell>
          <cell r="H13">
            <v>5.1500003784894943E-2</v>
          </cell>
          <cell r="I13">
            <v>1.100000087171793E-2</v>
          </cell>
          <cell r="J13">
            <v>14.545000076293945</v>
          </cell>
          <cell r="K13">
            <v>6.8849997520446777</v>
          </cell>
          <cell r="L13">
            <v>21.430000305175781</v>
          </cell>
          <cell r="M13">
            <v>1.6000000759959221E-2</v>
          </cell>
          <cell r="N13">
            <v>3.0000000260770321E-3</v>
          </cell>
          <cell r="O13">
            <v>0.32100000977516174</v>
          </cell>
          <cell r="P13">
            <v>77.30999755859375</v>
          </cell>
          <cell r="Q13">
            <v>210.26480102539063</v>
          </cell>
          <cell r="R13">
            <v>144.1708984375</v>
          </cell>
          <cell r="S13">
            <v>142.10899353027344</v>
          </cell>
          <cell r="T13">
            <v>48.920692443847656</v>
          </cell>
        </row>
        <row r="14">
          <cell r="F14">
            <v>38321.684027777781</v>
          </cell>
          <cell r="G14">
            <v>0.21900001168251038</v>
          </cell>
          <cell r="H14">
            <v>5.1500003784894943E-2</v>
          </cell>
          <cell r="I14">
            <v>1.100000087171793E-2</v>
          </cell>
          <cell r="J14">
            <v>14.545000076293945</v>
          </cell>
          <cell r="K14">
            <v>6.8849997520446777</v>
          </cell>
          <cell r="L14">
            <v>21.430000305175781</v>
          </cell>
          <cell r="M14">
            <v>1.6000000759959221E-2</v>
          </cell>
          <cell r="N14">
            <v>3.0000000260770321E-3</v>
          </cell>
          <cell r="O14">
            <v>0.32100000977516174</v>
          </cell>
          <cell r="P14">
            <v>77.30999755859375</v>
          </cell>
          <cell r="Q14">
            <v>210.26480102539063</v>
          </cell>
          <cell r="R14">
            <v>141.06391906738281</v>
          </cell>
          <cell r="S14">
            <v>139.03024291992188</v>
          </cell>
          <cell r="T14">
            <v>48.882160186767578</v>
          </cell>
        </row>
        <row r="15">
          <cell r="F15">
            <v>38321.6875</v>
          </cell>
          <cell r="G15">
            <v>0.21900001168251038</v>
          </cell>
          <cell r="H15">
            <v>3.0000000260770321E-3</v>
          </cell>
          <cell r="I15">
            <v>1.100000087171793E-2</v>
          </cell>
          <cell r="J15">
            <v>14.545000076293945</v>
          </cell>
          <cell r="K15">
            <v>7.5899996757507324</v>
          </cell>
          <cell r="L15">
            <v>21.430000305175781</v>
          </cell>
          <cell r="M15">
            <v>1.6000000759959221E-2</v>
          </cell>
          <cell r="N15">
            <v>1.500000013038516E-3</v>
          </cell>
          <cell r="O15">
            <v>0.32100000977516174</v>
          </cell>
          <cell r="P15">
            <v>77.30999755859375</v>
          </cell>
          <cell r="Q15">
            <v>210.26480102539063</v>
          </cell>
          <cell r="R15">
            <v>139.03024291992188</v>
          </cell>
          <cell r="S15">
            <v>136.99659729003906</v>
          </cell>
          <cell r="T15">
            <v>48.956043243408203</v>
          </cell>
        </row>
        <row r="16">
          <cell r="F16">
            <v>38321.690972222219</v>
          </cell>
          <cell r="G16">
            <v>0.21900001168251038</v>
          </cell>
          <cell r="H16">
            <v>3.0000000260770321E-3</v>
          </cell>
          <cell r="I16">
            <v>1.3000000268220901E-2</v>
          </cell>
          <cell r="J16">
            <v>14.545000076293945</v>
          </cell>
          <cell r="K16">
            <v>7.5899996757507324</v>
          </cell>
          <cell r="L16">
            <v>21.549999237060547</v>
          </cell>
          <cell r="M16">
            <v>1.6000000759959221E-2</v>
          </cell>
          <cell r="N16">
            <v>1.500000013038516E-3</v>
          </cell>
          <cell r="O16">
            <v>0.34850001335144043</v>
          </cell>
          <cell r="P16">
            <v>77.599998474121094</v>
          </cell>
          <cell r="Q16">
            <v>210.236572265625</v>
          </cell>
          <cell r="R16">
            <v>138.13018798828125</v>
          </cell>
          <cell r="S16">
            <v>136.09652709960938</v>
          </cell>
          <cell r="T16">
            <v>48.918231964111328</v>
          </cell>
        </row>
        <row r="17">
          <cell r="F17">
            <v>38321.694444444445</v>
          </cell>
          <cell r="G17">
            <v>0.22050000727176666</v>
          </cell>
          <cell r="H17">
            <v>3.0000000260770321E-3</v>
          </cell>
          <cell r="I17">
            <v>1.3000000268220901E-2</v>
          </cell>
          <cell r="J17">
            <v>13.934999465942383</v>
          </cell>
          <cell r="K17">
            <v>7.5899996757507324</v>
          </cell>
          <cell r="L17">
            <v>21.549999237060547</v>
          </cell>
          <cell r="M17">
            <v>2.3000001907348633E-2</v>
          </cell>
          <cell r="N17">
            <v>1.500000013038516E-3</v>
          </cell>
          <cell r="O17">
            <v>0.34850001335144043</v>
          </cell>
          <cell r="P17">
            <v>77.599998474121094</v>
          </cell>
          <cell r="Q17">
            <v>210.0953369140625</v>
          </cell>
          <cell r="R17">
            <v>137.78746032714844</v>
          </cell>
          <cell r="S17">
            <v>135.78205871582031</v>
          </cell>
          <cell r="T17">
            <v>48.856643676757813</v>
          </cell>
        </row>
        <row r="18">
          <cell r="F18">
            <v>38321.697916666664</v>
          </cell>
          <cell r="G18">
            <v>0.22050000727176666</v>
          </cell>
          <cell r="H18">
            <v>2.5000001769512892E-3</v>
          </cell>
          <cell r="I18">
            <v>1.3000000268220901E-2</v>
          </cell>
          <cell r="J18">
            <v>13.934999465942383</v>
          </cell>
          <cell r="K18">
            <v>7.5699996948242188</v>
          </cell>
          <cell r="L18">
            <v>21.549999237060547</v>
          </cell>
          <cell r="M18">
            <v>2.3000001907348633E-2</v>
          </cell>
          <cell r="N18">
            <v>9.5000006258487701E-3</v>
          </cell>
          <cell r="O18">
            <v>0.34850001335144043</v>
          </cell>
          <cell r="P18">
            <v>77.599998474121094</v>
          </cell>
          <cell r="Q18">
            <v>209.47393798828125</v>
          </cell>
          <cell r="R18">
            <v>137.56150817871094</v>
          </cell>
          <cell r="S18">
            <v>135.52783203125</v>
          </cell>
          <cell r="T18">
            <v>48.881278991699219</v>
          </cell>
        </row>
        <row r="19">
          <cell r="F19">
            <v>38321.701388888891</v>
          </cell>
          <cell r="G19">
            <v>0.22050000727176666</v>
          </cell>
          <cell r="H19">
            <v>2.5000001769512892E-3</v>
          </cell>
          <cell r="I19">
            <v>1.3000000268220901E-2</v>
          </cell>
          <cell r="J19">
            <v>13.934999465942383</v>
          </cell>
          <cell r="K19">
            <v>7.5699996948242188</v>
          </cell>
          <cell r="L19">
            <v>21.549999237060547</v>
          </cell>
          <cell r="M19">
            <v>2.3000001907348633E-2</v>
          </cell>
          <cell r="N19">
            <v>9.5000006258487701E-3</v>
          </cell>
          <cell r="O19">
            <v>0.34850001335144043</v>
          </cell>
          <cell r="P19">
            <v>77.599998474121094</v>
          </cell>
          <cell r="Q19">
            <v>208.93728637695313</v>
          </cell>
          <cell r="R19">
            <v>137.39202880859375</v>
          </cell>
          <cell r="S19">
            <v>135.38661193847656</v>
          </cell>
          <cell r="T19">
            <v>48.844329833984375</v>
          </cell>
        </row>
        <row r="20">
          <cell r="F20">
            <v>38321.704861111109</v>
          </cell>
          <cell r="G20">
            <v>0.21850000321865082</v>
          </cell>
          <cell r="H20">
            <v>2.5000001769512892E-3</v>
          </cell>
          <cell r="I20">
            <v>1.3000000268220901E-2</v>
          </cell>
          <cell r="J20">
            <v>13.899999618530273</v>
          </cell>
          <cell r="K20">
            <v>7.5699996948242188</v>
          </cell>
          <cell r="L20">
            <v>21.549999237060547</v>
          </cell>
          <cell r="M20">
            <v>1.3000000268220901E-2</v>
          </cell>
          <cell r="N20">
            <v>9.5000006258487701E-3</v>
          </cell>
          <cell r="O20">
            <v>0.34850001335144043</v>
          </cell>
          <cell r="P20">
            <v>77.599998474121094</v>
          </cell>
          <cell r="Q20">
            <v>208.62834167480469</v>
          </cell>
          <cell r="R20">
            <v>137.16606140136719</v>
          </cell>
          <cell r="S20">
            <v>135.16065979003906</v>
          </cell>
          <cell r="T20">
            <v>48.881278991699219</v>
          </cell>
        </row>
        <row r="21">
          <cell r="F21">
            <v>38321.708333333336</v>
          </cell>
          <cell r="G21">
            <v>0.21850000321865082</v>
          </cell>
          <cell r="H21">
            <v>2.0000000949949026E-3</v>
          </cell>
          <cell r="I21">
            <v>1.3000000268220901E-2</v>
          </cell>
          <cell r="J21">
            <v>13.899999618530273</v>
          </cell>
          <cell r="K21">
            <v>7.5499997138977051</v>
          </cell>
          <cell r="L21">
            <v>21.549999237060547</v>
          </cell>
          <cell r="M21">
            <v>1.3000000268220901E-2</v>
          </cell>
          <cell r="N21">
            <v>8.500000461935997E-3</v>
          </cell>
          <cell r="O21">
            <v>0.34850001335144043</v>
          </cell>
          <cell r="P21">
            <v>77.599998474121094</v>
          </cell>
          <cell r="Q21">
            <v>208.31588745117188</v>
          </cell>
          <cell r="R21">
            <v>136.99659729003906</v>
          </cell>
          <cell r="S21">
            <v>134.99118041992188</v>
          </cell>
          <cell r="T21">
            <v>48.967487335205078</v>
          </cell>
        </row>
        <row r="22">
          <cell r="F22">
            <v>38321.711805555555</v>
          </cell>
          <cell r="G22">
            <v>0.21850000321865082</v>
          </cell>
          <cell r="H22">
            <v>2.0000000949949026E-3</v>
          </cell>
          <cell r="I22">
            <v>1.3000000268220901E-2</v>
          </cell>
          <cell r="J22">
            <v>13.899999618530273</v>
          </cell>
          <cell r="K22">
            <v>7.5499997138977051</v>
          </cell>
          <cell r="L22">
            <v>21.510000228881836</v>
          </cell>
          <cell r="M22">
            <v>1.3000000268220901E-2</v>
          </cell>
          <cell r="N22">
            <v>8.500000461935997E-3</v>
          </cell>
          <cell r="O22">
            <v>0.34250003099441528</v>
          </cell>
          <cell r="P22">
            <v>77.489997863769531</v>
          </cell>
          <cell r="Q22">
            <v>208.06167602539063</v>
          </cell>
          <cell r="R22">
            <v>136.94010925292969</v>
          </cell>
          <cell r="S22">
            <v>134.9346923828125</v>
          </cell>
          <cell r="T22">
            <v>48.930553436279297</v>
          </cell>
        </row>
        <row r="23">
          <cell r="F23">
            <v>38321.715277777781</v>
          </cell>
          <cell r="G23">
            <v>0.2200000137090683</v>
          </cell>
          <cell r="H23">
            <v>2.0000000949949026E-3</v>
          </cell>
          <cell r="I23">
            <v>1.3000000268220901E-2</v>
          </cell>
          <cell r="J23">
            <v>13.804999351501465</v>
          </cell>
          <cell r="K23">
            <v>7.5499997138977051</v>
          </cell>
          <cell r="L23">
            <v>21.510000228881836</v>
          </cell>
          <cell r="M23">
            <v>1.7500000074505806E-2</v>
          </cell>
          <cell r="N23">
            <v>8.500000461935997E-3</v>
          </cell>
          <cell r="O23">
            <v>0.34250003099441528</v>
          </cell>
          <cell r="P23">
            <v>77.489997863769531</v>
          </cell>
          <cell r="Q23">
            <v>207.80935668945313</v>
          </cell>
          <cell r="R23">
            <v>136.94010925292969</v>
          </cell>
          <cell r="S23">
            <v>134.9346923828125</v>
          </cell>
          <cell r="T23">
            <v>49.004428863525391</v>
          </cell>
        </row>
        <row r="24">
          <cell r="F24">
            <v>38321.71875</v>
          </cell>
          <cell r="G24">
            <v>0.2200000137090683</v>
          </cell>
          <cell r="H24">
            <v>2.0000000949949026E-3</v>
          </cell>
          <cell r="I24">
            <v>1.3000000268220901E-2</v>
          </cell>
          <cell r="J24">
            <v>13.804999351501465</v>
          </cell>
          <cell r="K24">
            <v>7.5499997138977051</v>
          </cell>
          <cell r="L24">
            <v>21.510000228881836</v>
          </cell>
          <cell r="M24">
            <v>1.7500000074505806E-2</v>
          </cell>
          <cell r="N24">
            <v>8.500000461935997E-3</v>
          </cell>
          <cell r="O24">
            <v>0.34250003099441528</v>
          </cell>
          <cell r="P24">
            <v>77.489997863769531</v>
          </cell>
          <cell r="Q24">
            <v>207.49679565429688</v>
          </cell>
          <cell r="R24">
            <v>136.88362121582031</v>
          </cell>
          <cell r="S24">
            <v>134.87821960449219</v>
          </cell>
          <cell r="T24">
            <v>49.226097106933594</v>
          </cell>
        </row>
        <row r="25">
          <cell r="F25">
            <v>38321.722222222219</v>
          </cell>
          <cell r="G25">
            <v>0.2200000137090683</v>
          </cell>
          <cell r="H25">
            <v>2.5000001769512892E-3</v>
          </cell>
          <cell r="I25">
            <v>1.3000000268220901E-2</v>
          </cell>
          <cell r="J25">
            <v>13.804999351501465</v>
          </cell>
          <cell r="K25">
            <v>7.4499998092651367</v>
          </cell>
          <cell r="L25">
            <v>21.510000228881836</v>
          </cell>
          <cell r="M25">
            <v>1.7500000074505806E-2</v>
          </cell>
          <cell r="N25">
            <v>6.5000001341104507E-3</v>
          </cell>
          <cell r="O25">
            <v>0.34250003099441528</v>
          </cell>
          <cell r="P25">
            <v>77.489997863769531</v>
          </cell>
          <cell r="Q25">
            <v>207.21432495117188</v>
          </cell>
          <cell r="R25">
            <v>136.94010925292969</v>
          </cell>
          <cell r="S25">
            <v>134.90644836425781</v>
          </cell>
          <cell r="T25">
            <v>49.153972625732422</v>
          </cell>
        </row>
        <row r="26">
          <cell r="F26">
            <v>38321.725694444445</v>
          </cell>
          <cell r="G26">
            <v>0.22100001573562622</v>
          </cell>
          <cell r="H26">
            <v>2.5000001769512892E-3</v>
          </cell>
          <cell r="I26">
            <v>1.3000000268220901E-2</v>
          </cell>
          <cell r="J26">
            <v>13.920000076293945</v>
          </cell>
          <cell r="K26">
            <v>7.4499998092651367</v>
          </cell>
          <cell r="L26">
            <v>21.510000228881836</v>
          </cell>
          <cell r="M26">
            <v>2.200000174343586E-2</v>
          </cell>
          <cell r="N26">
            <v>6.5000001341104507E-3</v>
          </cell>
          <cell r="O26">
            <v>0.34250003099441528</v>
          </cell>
          <cell r="P26">
            <v>77.489997863769531</v>
          </cell>
          <cell r="Q26">
            <v>206.84713745117188</v>
          </cell>
          <cell r="R26">
            <v>136.82711791992188</v>
          </cell>
          <cell r="S26">
            <v>134.82173156738281</v>
          </cell>
          <cell r="T26">
            <v>49.225215911865234</v>
          </cell>
        </row>
        <row r="27">
          <cell r="F27">
            <v>38321.729166666664</v>
          </cell>
          <cell r="G27">
            <v>0.22100001573562622</v>
          </cell>
          <cell r="H27">
            <v>2.5000001769512892E-3</v>
          </cell>
          <cell r="I27">
            <v>1.3000000268220901E-2</v>
          </cell>
          <cell r="J27">
            <v>13.920000076293945</v>
          </cell>
          <cell r="K27">
            <v>7.4499998092651367</v>
          </cell>
          <cell r="L27">
            <v>21.510000228881836</v>
          </cell>
          <cell r="M27">
            <v>2.200000174343586E-2</v>
          </cell>
          <cell r="N27">
            <v>6.5000001341104507E-3</v>
          </cell>
          <cell r="O27">
            <v>0.34250003099441528</v>
          </cell>
          <cell r="P27">
            <v>77.489997863769531</v>
          </cell>
          <cell r="Q27">
            <v>206.56466674804688</v>
          </cell>
          <cell r="R27">
            <v>137.02485656738281</v>
          </cell>
          <cell r="S27">
            <v>134.96293640136719</v>
          </cell>
          <cell r="T27">
            <v>49.472412109375</v>
          </cell>
        </row>
        <row r="28">
          <cell r="F28">
            <v>38321.732638888891</v>
          </cell>
          <cell r="G28">
            <v>0.22100001573562622</v>
          </cell>
          <cell r="H28">
            <v>2.5000001769512892E-3</v>
          </cell>
          <cell r="I28">
            <v>1.100000087171793E-2</v>
          </cell>
          <cell r="J28">
            <v>13.920000076293945</v>
          </cell>
          <cell r="K28">
            <v>7.429999828338623</v>
          </cell>
          <cell r="L28">
            <v>21.279998779296875</v>
          </cell>
          <cell r="M28">
            <v>2.200000174343586E-2</v>
          </cell>
          <cell r="N28">
            <v>4.5000002719461918E-3</v>
          </cell>
          <cell r="O28">
            <v>0.32250002026557922</v>
          </cell>
          <cell r="P28">
            <v>76.680000305175781</v>
          </cell>
          <cell r="Q28">
            <v>206.33871459960938</v>
          </cell>
          <cell r="R28">
            <v>137.16606140136719</v>
          </cell>
          <cell r="S28">
            <v>135.10415649414063</v>
          </cell>
          <cell r="T28">
            <v>49.4847412109375</v>
          </cell>
        </row>
        <row r="29">
          <cell r="F29">
            <v>38321.736111111109</v>
          </cell>
          <cell r="G29">
            <v>0.21950000524520874</v>
          </cell>
          <cell r="H29">
            <v>2.5000001769512892E-3</v>
          </cell>
          <cell r="I29">
            <v>1.100000087171793E-2</v>
          </cell>
          <cell r="J29">
            <v>13.564999580383301</v>
          </cell>
          <cell r="K29">
            <v>7.429999828338623</v>
          </cell>
          <cell r="L29">
            <v>21.279998779296875</v>
          </cell>
          <cell r="M29">
            <v>2.5500001385807991E-2</v>
          </cell>
          <cell r="N29">
            <v>4.5000002719461918E-3</v>
          </cell>
          <cell r="O29">
            <v>0.32250002026557922</v>
          </cell>
          <cell r="P29">
            <v>76.680000305175781</v>
          </cell>
          <cell r="Q29">
            <v>206.16925048828125</v>
          </cell>
          <cell r="R29">
            <v>137.39202880859375</v>
          </cell>
          <cell r="S29">
            <v>135.33012390136719</v>
          </cell>
          <cell r="T29">
            <v>49.497047424316406</v>
          </cell>
        </row>
        <row r="30">
          <cell r="F30">
            <v>38321.739583333336</v>
          </cell>
          <cell r="G30">
            <v>0.21950000524520874</v>
          </cell>
          <cell r="H30">
            <v>2.5000001769512892E-3</v>
          </cell>
          <cell r="I30">
            <v>1.100000087171793E-2</v>
          </cell>
          <cell r="J30">
            <v>13.564999580383301</v>
          </cell>
          <cell r="K30">
            <v>7.429999828338623</v>
          </cell>
          <cell r="L30">
            <v>21.279998779296875</v>
          </cell>
          <cell r="M30">
            <v>2.5500001385807991E-2</v>
          </cell>
          <cell r="N30">
            <v>4.5000002719461918E-3</v>
          </cell>
          <cell r="O30">
            <v>0.32250002026557922</v>
          </cell>
          <cell r="P30">
            <v>76.680000305175781</v>
          </cell>
          <cell r="Q30">
            <v>206.02803039550781</v>
          </cell>
          <cell r="R30">
            <v>137.56150817871094</v>
          </cell>
          <cell r="S30">
            <v>135.49960327148438</v>
          </cell>
          <cell r="T30">
            <v>49.792606353759766</v>
          </cell>
        </row>
        <row r="31">
          <cell r="F31">
            <v>38321.743055555555</v>
          </cell>
          <cell r="G31">
            <v>0.21950000524520874</v>
          </cell>
          <cell r="H31">
            <v>3.0000000260770321E-3</v>
          </cell>
          <cell r="I31">
            <v>1.100000087171793E-2</v>
          </cell>
          <cell r="J31">
            <v>13.564999580383301</v>
          </cell>
          <cell r="K31">
            <v>7.5149998664855957</v>
          </cell>
          <cell r="L31">
            <v>21.279998779296875</v>
          </cell>
          <cell r="M31">
            <v>2.5500001385807991E-2</v>
          </cell>
          <cell r="N31">
            <v>8.0000003799796104E-3</v>
          </cell>
          <cell r="O31">
            <v>0.32250002026557922</v>
          </cell>
          <cell r="P31">
            <v>76.680000305175781</v>
          </cell>
          <cell r="Q31">
            <v>205.85855102539063</v>
          </cell>
          <cell r="R31">
            <v>137.70272827148438</v>
          </cell>
          <cell r="S31">
            <v>135.6690673828125</v>
          </cell>
          <cell r="T31">
            <v>49.73260498046875</v>
          </cell>
        </row>
        <row r="32">
          <cell r="F32">
            <v>38321.746527777781</v>
          </cell>
          <cell r="G32">
            <v>0.21950000524520874</v>
          </cell>
          <cell r="H32">
            <v>3.0000000260770321E-3</v>
          </cell>
          <cell r="I32">
            <v>1.100000087171793E-2</v>
          </cell>
          <cell r="J32">
            <v>13.564999580383301</v>
          </cell>
          <cell r="K32">
            <v>7.5149998664855957</v>
          </cell>
          <cell r="L32">
            <v>21.279998779296875</v>
          </cell>
          <cell r="M32">
            <v>2.5500001385807991E-2</v>
          </cell>
          <cell r="N32">
            <v>8.0000003799796104E-3</v>
          </cell>
          <cell r="O32">
            <v>0.32250002026557922</v>
          </cell>
          <cell r="P32">
            <v>76.680000305175781</v>
          </cell>
          <cell r="Q32">
            <v>205.6890869140625</v>
          </cell>
          <cell r="R32">
            <v>137.92868041992188</v>
          </cell>
          <cell r="S32">
            <v>135.86677551269531</v>
          </cell>
          <cell r="T32">
            <v>49.71875</v>
          </cell>
        </row>
        <row r="33">
          <cell r="F33">
            <v>38321.75</v>
          </cell>
          <cell r="G33">
            <v>0.22100001573562622</v>
          </cell>
          <cell r="H33">
            <v>3.0000000260770321E-3</v>
          </cell>
          <cell r="I33">
            <v>1.100000087171793E-2</v>
          </cell>
          <cell r="J33">
            <v>14.09999942779541</v>
          </cell>
          <cell r="K33">
            <v>7.5149998664855957</v>
          </cell>
          <cell r="L33">
            <v>21.279998779296875</v>
          </cell>
          <cell r="M33">
            <v>1.8000001087784767E-2</v>
          </cell>
          <cell r="N33">
            <v>8.0000003799796104E-3</v>
          </cell>
          <cell r="O33">
            <v>0.32250002026557922</v>
          </cell>
          <cell r="P33">
            <v>76.680000305175781</v>
          </cell>
          <cell r="Q33">
            <v>205.57608032226563</v>
          </cell>
          <cell r="R33">
            <v>138.09629821777344</v>
          </cell>
          <cell r="S33">
            <v>136.03439331054688</v>
          </cell>
          <cell r="T33">
            <v>49.743377685546875</v>
          </cell>
        </row>
        <row r="34">
          <cell r="F34">
            <v>38321.753472222219</v>
          </cell>
          <cell r="G34">
            <v>0.22100001573562622</v>
          </cell>
          <cell r="H34">
            <v>2.0000000949949026E-3</v>
          </cell>
          <cell r="I34">
            <v>1.2000000104308128E-2</v>
          </cell>
          <cell r="J34">
            <v>14.09999942779541</v>
          </cell>
          <cell r="K34">
            <v>7.6499996185302734</v>
          </cell>
          <cell r="L34">
            <v>21.489999771118164</v>
          </cell>
          <cell r="M34">
            <v>1.8000001087784767E-2</v>
          </cell>
          <cell r="N34">
            <v>0</v>
          </cell>
          <cell r="O34">
            <v>0.36300000548362732</v>
          </cell>
          <cell r="P34">
            <v>77.540000915527344</v>
          </cell>
          <cell r="Q34">
            <v>205.49137878417969</v>
          </cell>
          <cell r="R34">
            <v>138.26762390136719</v>
          </cell>
          <cell r="S34">
            <v>136.177490234375</v>
          </cell>
          <cell r="T34">
            <v>49.958930969238281</v>
          </cell>
        </row>
        <row r="35">
          <cell r="F35">
            <v>38321.756944444445</v>
          </cell>
          <cell r="G35">
            <v>0.22100001573562622</v>
          </cell>
          <cell r="H35">
            <v>2.0000000949949026E-3</v>
          </cell>
          <cell r="I35">
            <v>1.2000000104308128E-2</v>
          </cell>
          <cell r="J35">
            <v>14.09999942779541</v>
          </cell>
          <cell r="K35">
            <v>7.6499996185302734</v>
          </cell>
          <cell r="L35">
            <v>21.489999771118164</v>
          </cell>
          <cell r="M35">
            <v>1.8000001087784767E-2</v>
          </cell>
          <cell r="N35">
            <v>0</v>
          </cell>
          <cell r="O35">
            <v>0.36300000548362732</v>
          </cell>
          <cell r="P35">
            <v>77.540000915527344</v>
          </cell>
          <cell r="Q35">
            <v>205.43489074707031</v>
          </cell>
          <cell r="R35">
            <v>138.46536254882813</v>
          </cell>
          <cell r="S35">
            <v>136.37519836425781</v>
          </cell>
          <cell r="T35">
            <v>50.075927734375</v>
          </cell>
        </row>
        <row r="36">
          <cell r="F36">
            <v>38321.760416666664</v>
          </cell>
          <cell r="G36">
            <v>0.21850000321865082</v>
          </cell>
          <cell r="H36">
            <v>2.0000000949949026E-3</v>
          </cell>
          <cell r="I36">
            <v>1.2000000104308128E-2</v>
          </cell>
          <cell r="J36">
            <v>13.944999694824219</v>
          </cell>
          <cell r="K36">
            <v>7.6499996185302734</v>
          </cell>
          <cell r="L36">
            <v>21.489999771118164</v>
          </cell>
          <cell r="M36">
            <v>1.900000125169754E-2</v>
          </cell>
          <cell r="N36">
            <v>0</v>
          </cell>
          <cell r="O36">
            <v>0.36300000548362732</v>
          </cell>
          <cell r="P36">
            <v>77.540000915527344</v>
          </cell>
          <cell r="Q36">
            <v>205.35012817382813</v>
          </cell>
          <cell r="R36">
            <v>138.57832336425781</v>
          </cell>
          <cell r="S36">
            <v>136.45994567871094</v>
          </cell>
          <cell r="T36">
            <v>50.014366149902344</v>
          </cell>
        </row>
        <row r="37">
          <cell r="F37">
            <v>38321.763888888891</v>
          </cell>
          <cell r="G37">
            <v>0.21850000321865082</v>
          </cell>
          <cell r="H37">
            <v>2.0000000949949026E-3</v>
          </cell>
          <cell r="I37">
            <v>1.2000000104308128E-2</v>
          </cell>
          <cell r="J37">
            <v>13.944999694824219</v>
          </cell>
          <cell r="K37">
            <v>7.5249996185302734</v>
          </cell>
          <cell r="L37">
            <v>21.489999771118164</v>
          </cell>
          <cell r="M37">
            <v>1.900000125169754E-2</v>
          </cell>
          <cell r="N37">
            <v>1.2500000186264515E-2</v>
          </cell>
          <cell r="O37">
            <v>0.36300000548362732</v>
          </cell>
          <cell r="P37">
            <v>77.540000915527344</v>
          </cell>
          <cell r="Q37">
            <v>205.29364013671875</v>
          </cell>
          <cell r="R37">
            <v>138.83253479003906</v>
          </cell>
          <cell r="S37">
            <v>136.68588256835938</v>
          </cell>
          <cell r="T37">
            <v>50.088249206542969</v>
          </cell>
        </row>
        <row r="38">
          <cell r="F38">
            <v>38321.767361111109</v>
          </cell>
          <cell r="G38">
            <v>0.21850000321865082</v>
          </cell>
          <cell r="H38">
            <v>2.0000000949949026E-3</v>
          </cell>
          <cell r="I38">
            <v>1.2000000104308128E-2</v>
          </cell>
          <cell r="J38">
            <v>13.944999694824219</v>
          </cell>
          <cell r="K38">
            <v>7.5249996185302734</v>
          </cell>
          <cell r="L38">
            <v>21.489999771118164</v>
          </cell>
          <cell r="M38">
            <v>1.900000125169754E-2</v>
          </cell>
          <cell r="N38">
            <v>1.2500000186264515E-2</v>
          </cell>
          <cell r="O38">
            <v>0.36300000548362732</v>
          </cell>
          <cell r="P38">
            <v>77.540000915527344</v>
          </cell>
          <cell r="Q38">
            <v>205.1806640625</v>
          </cell>
          <cell r="R38">
            <v>139.17147827148438</v>
          </cell>
          <cell r="S38">
            <v>136.99659729003906</v>
          </cell>
          <cell r="T38">
            <v>50.112895965576172</v>
          </cell>
        </row>
        <row r="39">
          <cell r="F39">
            <v>38321.770833333336</v>
          </cell>
          <cell r="G39">
            <v>0.21900001168251038</v>
          </cell>
          <cell r="H39">
            <v>2.0000000949949026E-3</v>
          </cell>
          <cell r="I39">
            <v>1.2000000104308128E-2</v>
          </cell>
          <cell r="J39">
            <v>14.014999389648438</v>
          </cell>
          <cell r="K39">
            <v>7.5249996185302734</v>
          </cell>
          <cell r="L39">
            <v>21.489999771118164</v>
          </cell>
          <cell r="M39">
            <v>2.2500000894069672E-2</v>
          </cell>
          <cell r="N39">
            <v>1.2500000186264515E-2</v>
          </cell>
          <cell r="O39">
            <v>0.36300000548362732</v>
          </cell>
          <cell r="P39">
            <v>77.540000915527344</v>
          </cell>
          <cell r="Q39">
            <v>205.12417602539063</v>
          </cell>
          <cell r="R39">
            <v>140.07533264160156</v>
          </cell>
          <cell r="S39">
            <v>137.8721923828125</v>
          </cell>
          <cell r="T39">
            <v>50.038993835449219</v>
          </cell>
        </row>
        <row r="40">
          <cell r="F40">
            <v>38321.774305555555</v>
          </cell>
          <cell r="G40">
            <v>0.21900001168251038</v>
          </cell>
          <cell r="H40">
            <v>2.0000000949949026E-3</v>
          </cell>
          <cell r="I40">
            <v>9.0000005438923836E-3</v>
          </cell>
          <cell r="J40">
            <v>14.014999389648438</v>
          </cell>
          <cell r="K40">
            <v>7.5249996185302734</v>
          </cell>
          <cell r="L40">
            <v>21.430000305175781</v>
          </cell>
          <cell r="M40">
            <v>2.2500000894069672E-2</v>
          </cell>
          <cell r="N40">
            <v>1.2500000186264515E-2</v>
          </cell>
          <cell r="O40">
            <v>0.37700000405311584</v>
          </cell>
          <cell r="P40">
            <v>77.229995727539063</v>
          </cell>
          <cell r="Q40">
            <v>205.06768798828125</v>
          </cell>
          <cell r="R40">
            <v>144.50984191894531</v>
          </cell>
          <cell r="S40">
            <v>142.25022888183594</v>
          </cell>
          <cell r="T40">
            <v>50.112895965576172</v>
          </cell>
        </row>
        <row r="41">
          <cell r="F41">
            <v>38321.777777777781</v>
          </cell>
          <cell r="G41">
            <v>0.21900001168251038</v>
          </cell>
          <cell r="H41">
            <v>1.8000001087784767E-2</v>
          </cell>
          <cell r="I41">
            <v>9.0000005438923836E-3</v>
          </cell>
          <cell r="J41">
            <v>14.014999389648438</v>
          </cell>
          <cell r="K41">
            <v>7.2899999618530273</v>
          </cell>
          <cell r="L41">
            <v>21.430000305175781</v>
          </cell>
          <cell r="M41">
            <v>2.2500000894069672E-2</v>
          </cell>
          <cell r="N41">
            <v>6.0000000521540642E-3</v>
          </cell>
          <cell r="O41">
            <v>0.37700000405311584</v>
          </cell>
          <cell r="P41">
            <v>77.229995727539063</v>
          </cell>
          <cell r="Q41">
            <v>205.20890808105469</v>
          </cell>
          <cell r="R41">
            <v>147.13665771484375</v>
          </cell>
          <cell r="S41">
            <v>144.87701416015625</v>
          </cell>
          <cell r="T41">
            <v>50.186813354492188</v>
          </cell>
        </row>
        <row r="42">
          <cell r="F42">
            <v>38321.78125</v>
          </cell>
          <cell r="G42">
            <v>0.22050000727176666</v>
          </cell>
          <cell r="H42">
            <v>1.8000001087784767E-2</v>
          </cell>
          <cell r="I42">
            <v>9.0000005438923836E-3</v>
          </cell>
          <cell r="J42">
            <v>14.215000152587891</v>
          </cell>
          <cell r="K42">
            <v>7.2899999618530273</v>
          </cell>
          <cell r="L42">
            <v>21.430000305175781</v>
          </cell>
          <cell r="M42">
            <v>1.5000000596046448E-2</v>
          </cell>
          <cell r="N42">
            <v>6.0000000521540642E-3</v>
          </cell>
          <cell r="O42">
            <v>0.37700000405311584</v>
          </cell>
          <cell r="P42">
            <v>77.229995727539063</v>
          </cell>
          <cell r="Q42">
            <v>205.37837219238281</v>
          </cell>
          <cell r="R42">
            <v>147.53208923339844</v>
          </cell>
          <cell r="S42">
            <v>145.24421691894531</v>
          </cell>
          <cell r="T42">
            <v>50.359245300292969</v>
          </cell>
        </row>
        <row r="43">
          <cell r="F43">
            <v>38321.784722222219</v>
          </cell>
          <cell r="G43">
            <v>0.22050000727176666</v>
          </cell>
          <cell r="H43">
            <v>1.8000001087784767E-2</v>
          </cell>
          <cell r="I43">
            <v>9.0000005438923836E-3</v>
          </cell>
          <cell r="J43">
            <v>14.215000152587891</v>
          </cell>
          <cell r="K43">
            <v>7.2899999618530273</v>
          </cell>
          <cell r="L43">
            <v>21.430000305175781</v>
          </cell>
          <cell r="M43">
            <v>1.5000000596046448E-2</v>
          </cell>
          <cell r="N43">
            <v>6.0000000521540642E-3</v>
          </cell>
          <cell r="O43">
            <v>0.37700000405311584</v>
          </cell>
          <cell r="P43">
            <v>77.229995727539063</v>
          </cell>
          <cell r="Q43">
            <v>205.60435485839844</v>
          </cell>
          <cell r="R43">
            <v>147.50382995605469</v>
          </cell>
          <cell r="S43">
            <v>145.21598815917969</v>
          </cell>
          <cell r="T43">
            <v>50.359245300292969</v>
          </cell>
        </row>
        <row r="44">
          <cell r="F44">
            <v>38321.788194444445</v>
          </cell>
          <cell r="G44">
            <v>0.22050000727176666</v>
          </cell>
          <cell r="H44">
            <v>3.5000000149011612E-2</v>
          </cell>
          <cell r="I44">
            <v>9.0000005438923836E-3</v>
          </cell>
          <cell r="J44">
            <v>14.215000152587891</v>
          </cell>
          <cell r="K44">
            <v>6.9149999618530273</v>
          </cell>
          <cell r="L44">
            <v>21.430000305175781</v>
          </cell>
          <cell r="M44">
            <v>1.5000000596046448E-2</v>
          </cell>
          <cell r="N44">
            <v>1.500000013038516E-3</v>
          </cell>
          <cell r="O44">
            <v>0.37700000405311584</v>
          </cell>
          <cell r="P44">
            <v>77.229995727539063</v>
          </cell>
          <cell r="Q44">
            <v>205.63259887695313</v>
          </cell>
          <cell r="R44">
            <v>147.44734191894531</v>
          </cell>
          <cell r="S44">
            <v>145.18772888183594</v>
          </cell>
          <cell r="T44">
            <v>50.162185668945313</v>
          </cell>
        </row>
        <row r="45">
          <cell r="F45">
            <v>38321.791666666664</v>
          </cell>
          <cell r="G45">
            <v>0.21900001168251038</v>
          </cell>
          <cell r="H45">
            <v>3.5000000149011612E-2</v>
          </cell>
          <cell r="I45">
            <v>9.0000005438923836E-3</v>
          </cell>
          <cell r="J45">
            <v>13.609999656677246</v>
          </cell>
          <cell r="K45">
            <v>6.9149999618530273</v>
          </cell>
          <cell r="L45">
            <v>21.430000305175781</v>
          </cell>
          <cell r="M45">
            <v>1.4500000514090061E-2</v>
          </cell>
          <cell r="N45">
            <v>1.500000013038516E-3</v>
          </cell>
          <cell r="O45">
            <v>0.37700000405311584</v>
          </cell>
          <cell r="P45">
            <v>77.229995727539063</v>
          </cell>
          <cell r="Q45">
            <v>205.60435485839844</v>
          </cell>
          <cell r="R45">
            <v>147.64506530761719</v>
          </cell>
          <cell r="S45">
            <v>145.38543701171875</v>
          </cell>
          <cell r="T45">
            <v>50.038993835449219</v>
          </cell>
        </row>
        <row r="46">
          <cell r="F46">
            <v>38321.795138888891</v>
          </cell>
          <cell r="G46">
            <v>0.21900001168251038</v>
          </cell>
          <cell r="H46">
            <v>3.5000000149011612E-2</v>
          </cell>
          <cell r="I46">
            <v>1.0000000707805157E-2</v>
          </cell>
          <cell r="J46">
            <v>13.609999656677246</v>
          </cell>
          <cell r="K46">
            <v>6.9149999618530273</v>
          </cell>
          <cell r="L46">
            <v>21.029998779296875</v>
          </cell>
          <cell r="M46">
            <v>1.4500000514090061E-2</v>
          </cell>
          <cell r="N46">
            <v>1.500000013038516E-3</v>
          </cell>
          <cell r="O46">
            <v>0.3475000262260437</v>
          </cell>
          <cell r="P46">
            <v>76.790000915527344</v>
          </cell>
          <cell r="Q46">
            <v>205.63259887695313</v>
          </cell>
          <cell r="R46">
            <v>148.96693420410156</v>
          </cell>
          <cell r="S46">
            <v>146.6790771484375</v>
          </cell>
          <cell r="T46">
            <v>50.13446044921875</v>
          </cell>
        </row>
        <row r="47">
          <cell r="F47">
            <v>38321.798611111109</v>
          </cell>
          <cell r="G47">
            <v>0.21900001168251038</v>
          </cell>
          <cell r="H47">
            <v>3.2000001519918442E-2</v>
          </cell>
          <cell r="I47">
            <v>1.0000000707805157E-2</v>
          </cell>
          <cell r="J47">
            <v>13.609999656677246</v>
          </cell>
          <cell r="K47">
            <v>6.8899998664855957</v>
          </cell>
          <cell r="L47">
            <v>21.029998779296875</v>
          </cell>
          <cell r="M47">
            <v>1.4500000514090061E-2</v>
          </cell>
          <cell r="N47">
            <v>9.0000005438923836E-3</v>
          </cell>
          <cell r="O47">
            <v>0.3475000262260437</v>
          </cell>
          <cell r="P47">
            <v>76.790000915527344</v>
          </cell>
          <cell r="Q47">
            <v>205.51959228515625</v>
          </cell>
          <cell r="R47">
            <v>149.67872619628906</v>
          </cell>
          <cell r="S47">
            <v>147.41911315917969</v>
          </cell>
          <cell r="T47">
            <v>50.106754302978516</v>
          </cell>
        </row>
        <row r="48">
          <cell r="F48">
            <v>38321.802083333336</v>
          </cell>
          <cell r="G48">
            <v>0.21900001168251038</v>
          </cell>
          <cell r="H48">
            <v>3.2000001519918442E-2</v>
          </cell>
          <cell r="I48">
            <v>1.0000000707805157E-2</v>
          </cell>
          <cell r="J48">
            <v>13.609999656677246</v>
          </cell>
          <cell r="K48">
            <v>6.8899998664855957</v>
          </cell>
          <cell r="L48">
            <v>21.029998779296875</v>
          </cell>
          <cell r="M48">
            <v>1.4500000514090061E-2</v>
          </cell>
          <cell r="N48">
            <v>9.0000005438923836E-3</v>
          </cell>
          <cell r="O48">
            <v>0.3475000262260437</v>
          </cell>
          <cell r="P48">
            <v>76.790000915527344</v>
          </cell>
          <cell r="Q48">
            <v>205.37837219238281</v>
          </cell>
          <cell r="R48">
            <v>150.07415771484375</v>
          </cell>
          <cell r="S48">
            <v>147.78628540039063</v>
          </cell>
          <cell r="T48">
            <v>50.162185668945313</v>
          </cell>
        </row>
        <row r="49">
          <cell r="F49">
            <v>38321.805555555555</v>
          </cell>
          <cell r="G49">
            <v>0.21600000560283661</v>
          </cell>
          <cell r="H49">
            <v>3.2000001519918442E-2</v>
          </cell>
          <cell r="I49">
            <v>1.0000000707805157E-2</v>
          </cell>
          <cell r="J49">
            <v>13.484999656677246</v>
          </cell>
          <cell r="K49">
            <v>6.8899998664855957</v>
          </cell>
          <cell r="L49">
            <v>21.029998779296875</v>
          </cell>
          <cell r="M49">
            <v>2.5500001385807991E-2</v>
          </cell>
          <cell r="N49">
            <v>9.0000005438923836E-3</v>
          </cell>
          <cell r="O49">
            <v>0.3475000262260437</v>
          </cell>
          <cell r="P49">
            <v>76.790000915527344</v>
          </cell>
          <cell r="Q49">
            <v>205.15242004394531</v>
          </cell>
          <cell r="R49">
            <v>150.75204467773438</v>
          </cell>
          <cell r="S49">
            <v>148.46417236328125</v>
          </cell>
          <cell r="T49">
            <v>50.112895965576172</v>
          </cell>
        </row>
        <row r="50">
          <cell r="F50">
            <v>38321.809027777781</v>
          </cell>
          <cell r="G50">
            <v>0.21600000560283661</v>
          </cell>
          <cell r="H50">
            <v>3.9500001817941666E-2</v>
          </cell>
          <cell r="I50">
            <v>1.0000000707805157E-2</v>
          </cell>
          <cell r="J50">
            <v>13.484999656677246</v>
          </cell>
          <cell r="K50">
            <v>6.8350000381469727</v>
          </cell>
          <cell r="L50">
            <v>21.029998779296875</v>
          </cell>
          <cell r="M50">
            <v>2.5500001385807991E-2</v>
          </cell>
          <cell r="N50">
            <v>0</v>
          </cell>
          <cell r="O50">
            <v>0.3475000262260437</v>
          </cell>
          <cell r="P50">
            <v>76.790000915527344</v>
          </cell>
          <cell r="Q50">
            <v>204.64588928222656</v>
          </cell>
          <cell r="R50">
            <v>150.69743347167969</v>
          </cell>
          <cell r="S50">
            <v>148.40768432617188</v>
          </cell>
          <cell r="T50">
            <v>50.060543060302734</v>
          </cell>
        </row>
        <row r="51">
          <cell r="F51">
            <v>38321.8125</v>
          </cell>
          <cell r="G51">
            <v>0.21600000560283661</v>
          </cell>
          <cell r="H51">
            <v>3.9500001817941666E-2</v>
          </cell>
          <cell r="I51">
            <v>1.0000000707805157E-2</v>
          </cell>
          <cell r="J51">
            <v>13.484999656677246</v>
          </cell>
          <cell r="K51">
            <v>6.8350000381469727</v>
          </cell>
          <cell r="L51">
            <v>21.029998779296875</v>
          </cell>
          <cell r="M51">
            <v>2.5500001385807991E-2</v>
          </cell>
          <cell r="N51">
            <v>0</v>
          </cell>
          <cell r="O51">
            <v>0.3475000262260437</v>
          </cell>
          <cell r="P51">
            <v>76.790000915527344</v>
          </cell>
          <cell r="Q51">
            <v>204.22209167480469</v>
          </cell>
          <cell r="R51">
            <v>150.24539184570313</v>
          </cell>
          <cell r="S51">
            <v>147.95753479003906</v>
          </cell>
          <cell r="T51">
            <v>50.282245635986328</v>
          </cell>
        </row>
        <row r="52">
          <cell r="F52">
            <v>38321.815972222219</v>
          </cell>
          <cell r="G52">
            <v>0.21550001204013824</v>
          </cell>
          <cell r="H52">
            <v>3.9500001817941666E-2</v>
          </cell>
          <cell r="I52">
            <v>1.100000087171793E-2</v>
          </cell>
          <cell r="J52">
            <v>13.814999580383301</v>
          </cell>
          <cell r="K52">
            <v>6.8350000381469727</v>
          </cell>
          <cell r="L52">
            <v>21.079999923706055</v>
          </cell>
          <cell r="M52">
            <v>2.5500001385807991E-2</v>
          </cell>
          <cell r="N52">
            <v>0</v>
          </cell>
          <cell r="O52">
            <v>0.35250002145767212</v>
          </cell>
          <cell r="P52">
            <v>76.790000915527344</v>
          </cell>
          <cell r="Q52">
            <v>203.96612548828125</v>
          </cell>
          <cell r="R52">
            <v>149.79547119140625</v>
          </cell>
          <cell r="S52">
            <v>147.53396606445313</v>
          </cell>
          <cell r="T52">
            <v>50.336357116699219</v>
          </cell>
        </row>
        <row r="53">
          <cell r="F53">
            <v>38321.819444444445</v>
          </cell>
          <cell r="G53">
            <v>0.21550001204013824</v>
          </cell>
          <cell r="H53">
            <v>5.350000411272049E-2</v>
          </cell>
          <cell r="I53">
            <v>1.100000087171793E-2</v>
          </cell>
          <cell r="J53">
            <v>13.814999580383301</v>
          </cell>
          <cell r="K53">
            <v>6.5899996757507324</v>
          </cell>
          <cell r="L53">
            <v>21.079999923706055</v>
          </cell>
          <cell r="M53">
            <v>2.5500001385807991E-2</v>
          </cell>
          <cell r="N53">
            <v>1.0000000707805157E-2</v>
          </cell>
          <cell r="O53">
            <v>0.35250002145767212</v>
          </cell>
          <cell r="P53">
            <v>76.790000915527344</v>
          </cell>
          <cell r="Q53">
            <v>203.82489013671875</v>
          </cell>
          <cell r="R53">
            <v>149.4527587890625</v>
          </cell>
          <cell r="S53">
            <v>147.2496337890625</v>
          </cell>
          <cell r="T53">
            <v>50.309951782226563</v>
          </cell>
        </row>
        <row r="54">
          <cell r="F54">
            <v>38321.822916666664</v>
          </cell>
          <cell r="G54">
            <v>0.21550001204013824</v>
          </cell>
          <cell r="H54">
            <v>5.350000411272049E-2</v>
          </cell>
          <cell r="I54">
            <v>1.100000087171793E-2</v>
          </cell>
          <cell r="J54">
            <v>13.814999580383301</v>
          </cell>
          <cell r="K54">
            <v>6.5899996757507324</v>
          </cell>
          <cell r="L54">
            <v>21.079999923706055</v>
          </cell>
          <cell r="M54">
            <v>2.5500001385807991E-2</v>
          </cell>
          <cell r="N54">
            <v>1.0000000707805157E-2</v>
          </cell>
          <cell r="O54">
            <v>0.35250002145767212</v>
          </cell>
          <cell r="P54">
            <v>76.790000915527344</v>
          </cell>
          <cell r="Q54">
            <v>203.76840209960938</v>
          </cell>
          <cell r="R54">
            <v>149.33978271484375</v>
          </cell>
          <cell r="S54">
            <v>147.1083984375</v>
          </cell>
          <cell r="T54">
            <v>50.433147430419922</v>
          </cell>
        </row>
        <row r="55">
          <cell r="F55">
            <v>38321.826388888891</v>
          </cell>
          <cell r="G55">
            <v>0.21600000560283661</v>
          </cell>
          <cell r="H55">
            <v>5.350000411272049E-2</v>
          </cell>
          <cell r="I55">
            <v>1.100000087171793E-2</v>
          </cell>
          <cell r="J55">
            <v>13.63499927520752</v>
          </cell>
          <cell r="K55">
            <v>6.5899996757507324</v>
          </cell>
          <cell r="L55">
            <v>21.079999923706055</v>
          </cell>
          <cell r="M55">
            <v>1.8500000238418579E-2</v>
          </cell>
          <cell r="N55">
            <v>1.0000000707805157E-2</v>
          </cell>
          <cell r="O55">
            <v>0.35250002145767212</v>
          </cell>
          <cell r="P55">
            <v>76.790000915527344</v>
          </cell>
          <cell r="Q55">
            <v>203.62718200683594</v>
          </cell>
          <cell r="R55">
            <v>149.4527587890625</v>
          </cell>
          <cell r="S55">
            <v>147.22137451171875</v>
          </cell>
          <cell r="T55">
            <v>50.360786437988281</v>
          </cell>
        </row>
        <row r="56">
          <cell r="F56">
            <v>38321.829861111109</v>
          </cell>
          <cell r="G56">
            <v>0.21600000560283661</v>
          </cell>
          <cell r="H56">
            <v>5.350000411272049E-2</v>
          </cell>
          <cell r="I56">
            <v>1.100000087171793E-2</v>
          </cell>
          <cell r="J56">
            <v>13.63499927520752</v>
          </cell>
          <cell r="K56">
            <v>6.5899996757507324</v>
          </cell>
          <cell r="L56">
            <v>21.079999923706055</v>
          </cell>
          <cell r="M56">
            <v>1.8500000238418579E-2</v>
          </cell>
          <cell r="N56">
            <v>1.0000000707805157E-2</v>
          </cell>
          <cell r="O56">
            <v>0.35250002145767212</v>
          </cell>
          <cell r="P56">
            <v>76.790000915527344</v>
          </cell>
          <cell r="Q56">
            <v>203.45768737792969</v>
          </cell>
          <cell r="R56">
            <v>149.79170227050781</v>
          </cell>
          <cell r="S56">
            <v>147.56031799316406</v>
          </cell>
          <cell r="T56">
            <v>50.296768188476563</v>
          </cell>
        </row>
        <row r="57">
          <cell r="F57">
            <v>38321.833333333336</v>
          </cell>
          <cell r="G57">
            <v>0.21600000560283661</v>
          </cell>
          <cell r="H57">
            <v>5.4500002413988113E-2</v>
          </cell>
          <cell r="I57">
            <v>1.100000087171793E-2</v>
          </cell>
          <cell r="J57">
            <v>13.63499927520752</v>
          </cell>
          <cell r="K57">
            <v>6.1500000953674316</v>
          </cell>
          <cell r="L57">
            <v>21.079999923706055</v>
          </cell>
          <cell r="M57">
            <v>1.8500000238418579E-2</v>
          </cell>
          <cell r="N57">
            <v>1.500000013038516E-3</v>
          </cell>
          <cell r="O57">
            <v>0.35250002145767212</v>
          </cell>
          <cell r="P57">
            <v>76.790000915527344</v>
          </cell>
          <cell r="Q57">
            <v>203.34471130371094</v>
          </cell>
          <cell r="R57">
            <v>150.41310119628906</v>
          </cell>
          <cell r="S57">
            <v>148.12522888183594</v>
          </cell>
          <cell r="T57">
            <v>50.359245300292969</v>
          </cell>
        </row>
        <row r="58">
          <cell r="F58">
            <v>38321.836805555555</v>
          </cell>
          <cell r="G58">
            <v>0.21550001204013824</v>
          </cell>
          <cell r="H58">
            <v>5.4500002413988113E-2</v>
          </cell>
          <cell r="I58">
            <v>1.2000000104308128E-2</v>
          </cell>
          <cell r="J58">
            <v>13.439999580383301</v>
          </cell>
          <cell r="K58">
            <v>6.1500000953674316</v>
          </cell>
          <cell r="L58">
            <v>20.889999389648438</v>
          </cell>
          <cell r="M58">
            <v>2.7500001713633537E-2</v>
          </cell>
          <cell r="N58">
            <v>1.500000013038516E-3</v>
          </cell>
          <cell r="O58">
            <v>0.4270000159740448</v>
          </cell>
          <cell r="P58">
            <v>75.519996643066406</v>
          </cell>
          <cell r="Q58">
            <v>203.2034912109375</v>
          </cell>
          <cell r="R58">
            <v>151.00624084472656</v>
          </cell>
          <cell r="S58">
            <v>148.69013977050781</v>
          </cell>
          <cell r="T58">
            <v>50.360122680664063</v>
          </cell>
        </row>
        <row r="59">
          <cell r="F59">
            <v>38321.840277777781</v>
          </cell>
          <cell r="G59">
            <v>0.21550001204013824</v>
          </cell>
          <cell r="H59">
            <v>5.4500002413988113E-2</v>
          </cell>
          <cell r="I59">
            <v>1.2000000104308128E-2</v>
          </cell>
          <cell r="J59">
            <v>13.439999580383301</v>
          </cell>
          <cell r="K59">
            <v>6.1500000953674316</v>
          </cell>
          <cell r="L59">
            <v>20.889999389648438</v>
          </cell>
          <cell r="M59">
            <v>2.7500001713633537E-2</v>
          </cell>
          <cell r="N59">
            <v>1.500000013038516E-3</v>
          </cell>
          <cell r="O59">
            <v>0.4270000159740448</v>
          </cell>
          <cell r="P59">
            <v>75.519996643066406</v>
          </cell>
          <cell r="Q59">
            <v>203.03401184082031</v>
          </cell>
          <cell r="R59">
            <v>151.37344360351563</v>
          </cell>
          <cell r="S59">
            <v>149.05732727050781</v>
          </cell>
          <cell r="T59">
            <v>50.383892059326172</v>
          </cell>
        </row>
        <row r="60">
          <cell r="F60">
            <v>38321.84375</v>
          </cell>
          <cell r="G60">
            <v>0.21550001204013824</v>
          </cell>
          <cell r="H60">
            <v>6.7500002682209015E-2</v>
          </cell>
          <cell r="I60">
            <v>1.2000000104308128E-2</v>
          </cell>
          <cell r="J60">
            <v>13.439999580383301</v>
          </cell>
          <cell r="K60">
            <v>5.8399996757507324</v>
          </cell>
          <cell r="L60">
            <v>20.889999389648438</v>
          </cell>
          <cell r="M60">
            <v>2.7500001713633537E-2</v>
          </cell>
          <cell r="N60">
            <v>2.0000000949949026E-3</v>
          </cell>
          <cell r="O60">
            <v>0.4270000159740448</v>
          </cell>
          <cell r="P60">
            <v>75.519996643066406</v>
          </cell>
          <cell r="Q60">
            <v>202.89279174804688</v>
          </cell>
          <cell r="R60">
            <v>151.62763977050781</v>
          </cell>
          <cell r="S60">
            <v>149.31153869628906</v>
          </cell>
          <cell r="T60">
            <v>50.457775115966797</v>
          </cell>
        </row>
        <row r="61">
          <cell r="F61">
            <v>38321.847222222219</v>
          </cell>
          <cell r="G61">
            <v>0.21250000596046448</v>
          </cell>
          <cell r="H61">
            <v>6.7500002682209015E-2</v>
          </cell>
          <cell r="I61">
            <v>1.2000000104308128E-2</v>
          </cell>
          <cell r="J61">
            <v>13.549999237060547</v>
          </cell>
          <cell r="K61">
            <v>5.8399996757507324</v>
          </cell>
          <cell r="L61">
            <v>20.889999389648438</v>
          </cell>
          <cell r="M61">
            <v>2.3500001057982445E-2</v>
          </cell>
          <cell r="N61">
            <v>2.0000000949949026E-3</v>
          </cell>
          <cell r="O61">
            <v>0.4270000159740448</v>
          </cell>
          <cell r="P61">
            <v>75.519996643066406</v>
          </cell>
          <cell r="Q61">
            <v>202.7515869140625</v>
          </cell>
          <cell r="R61">
            <v>151.85360717773438</v>
          </cell>
          <cell r="S61">
            <v>149.56573486328125</v>
          </cell>
          <cell r="T61">
            <v>50.433147430419922</v>
          </cell>
        </row>
        <row r="62">
          <cell r="F62">
            <v>38321.850694444445</v>
          </cell>
          <cell r="G62">
            <v>0.21250000596046448</v>
          </cell>
          <cell r="H62">
            <v>6.7500002682209015E-2</v>
          </cell>
          <cell r="I62">
            <v>1.2000000104308128E-2</v>
          </cell>
          <cell r="J62">
            <v>13.549999237060547</v>
          </cell>
          <cell r="K62">
            <v>5.8399996757507324</v>
          </cell>
          <cell r="L62">
            <v>20.889999389648438</v>
          </cell>
          <cell r="M62">
            <v>2.3500001057982445E-2</v>
          </cell>
          <cell r="N62">
            <v>2.0000000949949026E-3</v>
          </cell>
          <cell r="O62">
            <v>0.4270000159740448</v>
          </cell>
          <cell r="P62">
            <v>75.519996643066406</v>
          </cell>
          <cell r="Q62">
            <v>202.6103515625</v>
          </cell>
          <cell r="R62">
            <v>152.07957458496094</v>
          </cell>
          <cell r="S62">
            <v>149.76345825195313</v>
          </cell>
          <cell r="T62">
            <v>50.556339263916016</v>
          </cell>
        </row>
        <row r="63">
          <cell r="F63">
            <v>38321.854166666664</v>
          </cell>
          <cell r="G63">
            <v>0.21250000596046448</v>
          </cell>
          <cell r="H63">
            <v>8.0000005662441254E-2</v>
          </cell>
          <cell r="I63">
            <v>1.2000000104308128E-2</v>
          </cell>
          <cell r="J63">
            <v>13.549999237060547</v>
          </cell>
          <cell r="K63">
            <v>5.5</v>
          </cell>
          <cell r="L63">
            <v>20.889999389648438</v>
          </cell>
          <cell r="M63">
            <v>2.3500001057982445E-2</v>
          </cell>
          <cell r="N63">
            <v>5.5000004358589649E-3</v>
          </cell>
          <cell r="O63">
            <v>0.4270000159740448</v>
          </cell>
          <cell r="P63">
            <v>75.519996643066406</v>
          </cell>
          <cell r="Q63">
            <v>202.46913146972656</v>
          </cell>
          <cell r="R63">
            <v>152.13606262207031</v>
          </cell>
          <cell r="S63">
            <v>149.84819030761719</v>
          </cell>
          <cell r="T63">
            <v>50.617916107177734</v>
          </cell>
        </row>
        <row r="64">
          <cell r="F64">
            <v>38321.857638888891</v>
          </cell>
          <cell r="G64">
            <v>0.21250000596046448</v>
          </cell>
          <cell r="H64">
            <v>8.0000005662441254E-2</v>
          </cell>
          <cell r="I64">
            <v>1.2000000104308128E-2</v>
          </cell>
          <cell r="J64">
            <v>13.549999237060547</v>
          </cell>
          <cell r="K64">
            <v>5.5</v>
          </cell>
          <cell r="L64">
            <v>21.299999237060547</v>
          </cell>
          <cell r="M64">
            <v>2.3500001057982445E-2</v>
          </cell>
          <cell r="N64">
            <v>5.5000004358589649E-3</v>
          </cell>
          <cell r="O64">
            <v>0.36350002884864807</v>
          </cell>
          <cell r="P64">
            <v>77.150001525878906</v>
          </cell>
          <cell r="Q64">
            <v>202.32791137695313</v>
          </cell>
          <cell r="R64">
            <v>152.13606262207031</v>
          </cell>
          <cell r="S64">
            <v>149.84819030761719</v>
          </cell>
          <cell r="T64">
            <v>50.630241394042969</v>
          </cell>
        </row>
        <row r="65">
          <cell r="F65">
            <v>38321.861111111109</v>
          </cell>
          <cell r="G65">
            <v>0.21200001239776611</v>
          </cell>
          <cell r="H65">
            <v>8.0000005662441254E-2</v>
          </cell>
          <cell r="I65">
            <v>1.2000000104308128E-2</v>
          </cell>
          <cell r="J65">
            <v>13.394999504089355</v>
          </cell>
          <cell r="K65">
            <v>5.5</v>
          </cell>
          <cell r="L65">
            <v>21.299999237060547</v>
          </cell>
          <cell r="M65">
            <v>1.8500000238418579E-2</v>
          </cell>
          <cell r="N65">
            <v>5.5000004358589649E-3</v>
          </cell>
          <cell r="O65">
            <v>0.36350002884864807</v>
          </cell>
          <cell r="P65">
            <v>77.150001525878906</v>
          </cell>
          <cell r="Q65">
            <v>202.52561950683594</v>
          </cell>
          <cell r="R65">
            <v>152.02308654785156</v>
          </cell>
          <cell r="S65">
            <v>149.73521423339844</v>
          </cell>
          <cell r="T65">
            <v>50.642562866210938</v>
          </cell>
        </row>
        <row r="66">
          <cell r="F66">
            <v>38321.864583333336</v>
          </cell>
          <cell r="G66">
            <v>0.21200001239776611</v>
          </cell>
          <cell r="H66">
            <v>7.6500006020069122E-2</v>
          </cell>
          <cell r="I66">
            <v>1.2000000104308128E-2</v>
          </cell>
          <cell r="J66">
            <v>13.394999504089355</v>
          </cell>
          <cell r="K66">
            <v>5.4749999046325684</v>
          </cell>
          <cell r="L66">
            <v>21.299999237060547</v>
          </cell>
          <cell r="M66">
            <v>1.8500000238418579E-2</v>
          </cell>
          <cell r="N66">
            <v>5.5000004358589649E-3</v>
          </cell>
          <cell r="O66">
            <v>0.36350002884864807</v>
          </cell>
          <cell r="P66">
            <v>77.150001525878906</v>
          </cell>
          <cell r="Q66">
            <v>202.92103576660156</v>
          </cell>
          <cell r="R66">
            <v>151.85360717773438</v>
          </cell>
          <cell r="S66">
            <v>149.56573486328125</v>
          </cell>
          <cell r="T66">
            <v>50.679512023925781</v>
          </cell>
        </row>
        <row r="67">
          <cell r="F67">
            <v>38321.868055555555</v>
          </cell>
          <cell r="G67">
            <v>0.21200001239776611</v>
          </cell>
          <cell r="H67">
            <v>7.6500006020069122E-2</v>
          </cell>
          <cell r="I67">
            <v>1.2000000104308128E-2</v>
          </cell>
          <cell r="J67">
            <v>13.394999504089355</v>
          </cell>
          <cell r="K67">
            <v>5.4749999046325684</v>
          </cell>
          <cell r="L67">
            <v>21.299999237060547</v>
          </cell>
          <cell r="M67">
            <v>1.8500000238418579E-2</v>
          </cell>
          <cell r="N67">
            <v>5.5000004358589649E-3</v>
          </cell>
          <cell r="O67">
            <v>0.36350002884864807</v>
          </cell>
          <cell r="P67">
            <v>77.150001525878906</v>
          </cell>
          <cell r="Q67">
            <v>203.2034912109375</v>
          </cell>
          <cell r="R67">
            <v>151.51466369628906</v>
          </cell>
          <cell r="S67">
            <v>149.25505065917969</v>
          </cell>
          <cell r="T67">
            <v>50.864269256591797</v>
          </cell>
        </row>
        <row r="68">
          <cell r="F68">
            <v>38321.871527777781</v>
          </cell>
          <cell r="G68">
            <v>0.21000000834465027</v>
          </cell>
          <cell r="H68">
            <v>7.6500006020069122E-2</v>
          </cell>
          <cell r="I68">
            <v>1.2000000104308128E-2</v>
          </cell>
          <cell r="J68">
            <v>13.734999656677246</v>
          </cell>
          <cell r="K68">
            <v>5.4749999046325684</v>
          </cell>
          <cell r="L68">
            <v>21.299999237060547</v>
          </cell>
          <cell r="M68">
            <v>2.3000001907348633E-2</v>
          </cell>
          <cell r="N68">
            <v>5.5000004358589649E-3</v>
          </cell>
          <cell r="O68">
            <v>0.36350002884864807</v>
          </cell>
          <cell r="P68">
            <v>77.150001525878906</v>
          </cell>
          <cell r="Q68">
            <v>203.42947387695313</v>
          </cell>
          <cell r="R68">
            <v>151.23220825195313</v>
          </cell>
          <cell r="S68">
            <v>148.97257995605469</v>
          </cell>
          <cell r="T68">
            <v>50.950527191162109</v>
          </cell>
        </row>
        <row r="69">
          <cell r="F69">
            <v>38321.875</v>
          </cell>
          <cell r="G69">
            <v>0.21000000834465027</v>
          </cell>
          <cell r="H69">
            <v>7.6500006020069122E-2</v>
          </cell>
          <cell r="I69">
            <v>1.2000000104308128E-2</v>
          </cell>
          <cell r="J69">
            <v>13.734999656677246</v>
          </cell>
          <cell r="K69">
            <v>5.440000057220459</v>
          </cell>
          <cell r="L69">
            <v>21.299999237060547</v>
          </cell>
          <cell r="M69">
            <v>2.3000001907348633E-2</v>
          </cell>
          <cell r="N69">
            <v>1.3000000268220901E-2</v>
          </cell>
          <cell r="O69">
            <v>0.36350002884864807</v>
          </cell>
          <cell r="P69">
            <v>77.150001525878906</v>
          </cell>
          <cell r="Q69">
            <v>203.74015808105469</v>
          </cell>
          <cell r="R69">
            <v>150.97799682617188</v>
          </cell>
          <cell r="S69">
            <v>148.77487182617188</v>
          </cell>
          <cell r="T69">
            <v>50.925899505615234</v>
          </cell>
        </row>
        <row r="70">
          <cell r="F70">
            <v>38321.878472222219</v>
          </cell>
          <cell r="G70">
            <v>0.21000000834465027</v>
          </cell>
          <cell r="H70">
            <v>7.6500006020069122E-2</v>
          </cell>
          <cell r="I70">
            <v>1.0000000707805157E-2</v>
          </cell>
          <cell r="J70">
            <v>13.734999656677246</v>
          </cell>
          <cell r="K70">
            <v>5.440000057220459</v>
          </cell>
          <cell r="L70">
            <v>21.389999389648438</v>
          </cell>
          <cell r="M70">
            <v>2.3000001907348633E-2</v>
          </cell>
          <cell r="N70">
            <v>1.3000000268220901E-2</v>
          </cell>
          <cell r="O70">
            <v>0.35550001263618469</v>
          </cell>
          <cell r="P70">
            <v>77.279998779296875</v>
          </cell>
          <cell r="Q70">
            <v>204.16206359863281</v>
          </cell>
          <cell r="R70">
            <v>150.86502075195313</v>
          </cell>
          <cell r="S70">
            <v>148.66188049316406</v>
          </cell>
          <cell r="T70">
            <v>50.956703186035156</v>
          </cell>
        </row>
        <row r="71">
          <cell r="F71">
            <v>38321.881944444445</v>
          </cell>
          <cell r="G71">
            <v>0.2095000147819519</v>
          </cell>
          <cell r="H71">
            <v>7.6500006020069122E-2</v>
          </cell>
          <cell r="I71">
            <v>1.0000000707805157E-2</v>
          </cell>
          <cell r="J71">
            <v>13.744999885559082</v>
          </cell>
          <cell r="K71">
            <v>5.440000057220459</v>
          </cell>
          <cell r="L71">
            <v>21.389999389648438</v>
          </cell>
          <cell r="M71">
            <v>2.3500001057982445E-2</v>
          </cell>
          <cell r="N71">
            <v>1.3000000268220901E-2</v>
          </cell>
          <cell r="O71">
            <v>0.35550001263618469</v>
          </cell>
          <cell r="P71">
            <v>77.279998779296875</v>
          </cell>
          <cell r="Q71">
            <v>204.50279235839844</v>
          </cell>
          <cell r="R71">
            <v>150.78028869628906</v>
          </cell>
          <cell r="S71">
            <v>148.60540771484375</v>
          </cell>
          <cell r="T71">
            <v>50.876609802246094</v>
          </cell>
        </row>
        <row r="72">
          <cell r="F72">
            <v>38321.885416666664</v>
          </cell>
          <cell r="G72">
            <v>0.2095000147819519</v>
          </cell>
          <cell r="H72">
            <v>7.6500006020069122E-2</v>
          </cell>
          <cell r="I72">
            <v>1.0000000707805157E-2</v>
          </cell>
          <cell r="J72">
            <v>13.744999885559082</v>
          </cell>
          <cell r="K72">
            <v>5.440000057220459</v>
          </cell>
          <cell r="L72">
            <v>21.389999389648438</v>
          </cell>
          <cell r="M72">
            <v>2.3500001057982445E-2</v>
          </cell>
          <cell r="N72">
            <v>1.3000000268220901E-2</v>
          </cell>
          <cell r="O72">
            <v>0.35550001263618469</v>
          </cell>
          <cell r="P72">
            <v>77.279998779296875</v>
          </cell>
          <cell r="Q72">
            <v>204.55924987792969</v>
          </cell>
          <cell r="R72">
            <v>150.61080932617188</v>
          </cell>
          <cell r="S72">
            <v>148.43594360351563</v>
          </cell>
          <cell r="T72">
            <v>50.987495422363281</v>
          </cell>
        </row>
        <row r="73">
          <cell r="F73">
            <v>38321.888888888891</v>
          </cell>
          <cell r="G73">
            <v>0.2095000147819519</v>
          </cell>
          <cell r="H73">
            <v>7.7500000596046448E-2</v>
          </cell>
          <cell r="I73">
            <v>1.0000000707805157E-2</v>
          </cell>
          <cell r="J73">
            <v>13.744999885559082</v>
          </cell>
          <cell r="K73">
            <v>5.4549999237060547</v>
          </cell>
          <cell r="L73">
            <v>21.389999389648438</v>
          </cell>
          <cell r="M73">
            <v>2.3500001057982445E-2</v>
          </cell>
          <cell r="N73">
            <v>9.0000005438923836E-3</v>
          </cell>
          <cell r="O73">
            <v>0.35550001263618469</v>
          </cell>
          <cell r="P73">
            <v>77.279998779296875</v>
          </cell>
          <cell r="Q73">
            <v>204.64401245117188</v>
          </cell>
          <cell r="R73">
            <v>150.46958923339844</v>
          </cell>
          <cell r="S73">
            <v>148.32293701171875</v>
          </cell>
          <cell r="T73">
            <v>50.913597106933594</v>
          </cell>
        </row>
        <row r="74">
          <cell r="F74">
            <v>38321.892361111109</v>
          </cell>
          <cell r="G74">
            <v>0.20600001513957977</v>
          </cell>
          <cell r="H74">
            <v>7.7500000596046448E-2</v>
          </cell>
          <cell r="I74">
            <v>1.0000000707805157E-2</v>
          </cell>
          <cell r="J74">
            <v>13.789999961853027</v>
          </cell>
          <cell r="K74">
            <v>5.4549999237060547</v>
          </cell>
          <cell r="L74">
            <v>21.389999389648438</v>
          </cell>
          <cell r="M74">
            <v>1.8000001087784767E-2</v>
          </cell>
          <cell r="N74">
            <v>9.0000005438923836E-3</v>
          </cell>
          <cell r="O74">
            <v>0.35550001263618469</v>
          </cell>
          <cell r="P74">
            <v>77.279998779296875</v>
          </cell>
          <cell r="Q74">
            <v>204.89820861816406</v>
          </cell>
          <cell r="R74">
            <v>150.38484191894531</v>
          </cell>
          <cell r="S74">
            <v>148.23822021484375</v>
          </cell>
          <cell r="T74">
            <v>51.110691070556641</v>
          </cell>
        </row>
        <row r="75">
          <cell r="F75">
            <v>38321.895833333336</v>
          </cell>
          <cell r="G75">
            <v>0.20600001513957977</v>
          </cell>
          <cell r="H75">
            <v>7.7500000596046448E-2</v>
          </cell>
          <cell r="I75">
            <v>1.0000000707805157E-2</v>
          </cell>
          <cell r="J75">
            <v>13.789999961853027</v>
          </cell>
          <cell r="K75">
            <v>5.4549999237060547</v>
          </cell>
          <cell r="L75">
            <v>21.389999389648438</v>
          </cell>
          <cell r="M75">
            <v>1.8000001087784767E-2</v>
          </cell>
          <cell r="N75">
            <v>9.0000005438923836E-3</v>
          </cell>
          <cell r="O75">
            <v>0.35550001263618469</v>
          </cell>
          <cell r="P75">
            <v>77.279998779296875</v>
          </cell>
          <cell r="Q75">
            <v>205.26539611816406</v>
          </cell>
          <cell r="R75">
            <v>150.21537780761719</v>
          </cell>
          <cell r="S75">
            <v>148.09700012207031</v>
          </cell>
          <cell r="T75">
            <v>50.989036560058594</v>
          </cell>
        </row>
      </sheetData>
      <sheetData sheetId="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Ajenifuja, Hafeez" id="{C2EB81A9-DC1B-497B-B116-B6302DBFFC33}" userId="S::Hafeez.Ajenifuja@AlleghenyCounty.US::6375ec28-ba65-4e26-878c-0fa121bf33b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93" dT="2021-08-23T20:21:17.01" personId="{C2EB81A9-DC1B-497B-B116-B6302DBFFC33}" id="{FDC3B48F-6E70-4DBA-96C5-B1C1B5547DD4}">
    <text>I changed the 0 to 90% control for wet suppression like the other activities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 Id="rId4" Type="http://schemas.microsoft.com/office/2017/10/relationships/threadedComment" Target="../threadedComments/threadedComment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
  <sheetViews>
    <sheetView zoomScaleNormal="100" zoomScaleSheetLayoutView="100" workbookViewId="0">
      <selection activeCell="C21" sqref="C21"/>
    </sheetView>
  </sheetViews>
  <sheetFormatPr defaultColWidth="9.140625" defaultRowHeight="12.75"/>
  <cols>
    <col min="1" max="1" width="3.7109375" style="191" customWidth="1"/>
    <col min="2" max="2" width="15.7109375" style="91" customWidth="1"/>
    <col min="3" max="3" width="44.42578125" style="91" bestFit="1" customWidth="1"/>
    <col min="4" max="4" width="28.42578125" style="91" customWidth="1"/>
    <col min="5" max="5" width="12.140625" style="192" bestFit="1" customWidth="1"/>
    <col min="6" max="6" width="16.28515625" style="192" bestFit="1" customWidth="1"/>
    <col min="7" max="8" width="14" style="192" customWidth="1"/>
    <col min="9" max="10" width="9.5703125" style="192" bestFit="1" customWidth="1"/>
    <col min="11" max="11" width="9.140625" style="170"/>
    <col min="12" max="16384" width="9.140625" style="91"/>
  </cols>
  <sheetData>
    <row r="1" spans="2:12">
      <c r="L1" s="193"/>
    </row>
    <row r="2" spans="2:12" ht="14.45" customHeight="1">
      <c r="B2" s="183" t="s">
        <v>2</v>
      </c>
      <c r="C2" s="194" t="s">
        <v>171</v>
      </c>
      <c r="D2" s="779" t="s">
        <v>274</v>
      </c>
      <c r="E2" s="779"/>
      <c r="F2" s="779"/>
      <c r="G2" s="320">
        <v>0.15</v>
      </c>
    </row>
    <row r="3" spans="2:12">
      <c r="B3" s="183" t="s">
        <v>3</v>
      </c>
      <c r="C3" s="194" t="s">
        <v>172</v>
      </c>
      <c r="D3" s="194"/>
    </row>
    <row r="4" spans="2:12">
      <c r="B4" s="183" t="s">
        <v>4</v>
      </c>
      <c r="C4" s="194" t="s">
        <v>17</v>
      </c>
      <c r="D4" s="194"/>
    </row>
    <row r="5" spans="2:12">
      <c r="B5" s="183" t="s">
        <v>173</v>
      </c>
      <c r="C5" s="539" t="s">
        <v>753</v>
      </c>
      <c r="D5" s="278"/>
    </row>
    <row r="6" spans="2:12">
      <c r="B6" s="183"/>
      <c r="C6" s="194"/>
      <c r="D6" s="194"/>
    </row>
    <row r="7" spans="2:12">
      <c r="B7" s="195" t="s">
        <v>22</v>
      </c>
    </row>
    <row r="8" spans="2:12" ht="5.25" customHeight="1" thickBot="1">
      <c r="B8" s="195"/>
    </row>
    <row r="9" spans="2:12" ht="6.75" customHeight="1">
      <c r="B9" s="196"/>
      <c r="C9" s="197"/>
      <c r="D9" s="283"/>
      <c r="E9" s="198"/>
      <c r="F9" s="199"/>
      <c r="G9" s="200"/>
      <c r="H9" s="201"/>
      <c r="I9" s="170"/>
      <c r="J9" s="91"/>
      <c r="K9" s="91"/>
    </row>
    <row r="10" spans="2:12">
      <c r="B10" s="202" t="s">
        <v>18</v>
      </c>
      <c r="C10" s="203" t="s">
        <v>23</v>
      </c>
      <c r="D10" s="212" t="s">
        <v>14</v>
      </c>
      <c r="E10" s="783" t="s">
        <v>177</v>
      </c>
      <c r="F10" s="784"/>
      <c r="G10" s="785" t="s">
        <v>19</v>
      </c>
      <c r="H10" s="786"/>
      <c r="I10" s="170"/>
      <c r="J10" s="91"/>
      <c r="K10" s="91"/>
    </row>
    <row r="11" spans="2:12" ht="5.25" customHeight="1" thickBot="1">
      <c r="B11" s="204"/>
      <c r="C11" s="205"/>
      <c r="D11" s="284"/>
      <c r="E11" s="206"/>
      <c r="F11" s="207"/>
      <c r="G11" s="208"/>
      <c r="H11" s="209"/>
      <c r="I11" s="170"/>
      <c r="J11" s="91"/>
      <c r="K11" s="91"/>
    </row>
    <row r="12" spans="2:12" ht="6" customHeight="1">
      <c r="B12" s="210"/>
      <c r="C12" s="211"/>
      <c r="D12" s="285"/>
      <c r="E12" s="212"/>
      <c r="F12" s="213"/>
      <c r="G12" s="214"/>
      <c r="H12" s="215"/>
      <c r="I12" s="170"/>
      <c r="J12" s="91"/>
      <c r="K12" s="91"/>
    </row>
    <row r="13" spans="2:12">
      <c r="B13" s="216" t="s">
        <v>174</v>
      </c>
      <c r="C13" s="211" t="s">
        <v>175</v>
      </c>
      <c r="D13" s="285" t="s">
        <v>176</v>
      </c>
      <c r="E13" s="217">
        <v>1752000</v>
      </c>
      <c r="F13" s="213" t="s">
        <v>222</v>
      </c>
      <c r="G13" s="218">
        <v>8760</v>
      </c>
      <c r="H13" s="215" t="s">
        <v>20</v>
      </c>
      <c r="I13" s="170"/>
      <c r="J13" s="91"/>
      <c r="K13" s="91"/>
    </row>
    <row r="14" spans="2:12">
      <c r="B14" s="219" t="s">
        <v>178</v>
      </c>
      <c r="C14" s="220" t="s">
        <v>179</v>
      </c>
      <c r="D14" s="286" t="s">
        <v>27</v>
      </c>
      <c r="E14" s="221">
        <v>495</v>
      </c>
      <c r="F14" s="213" t="s">
        <v>100</v>
      </c>
      <c r="G14" s="218">
        <v>8760</v>
      </c>
      <c r="H14" s="215" t="s">
        <v>20</v>
      </c>
      <c r="I14" s="170"/>
      <c r="J14" s="91"/>
      <c r="K14" s="91"/>
    </row>
    <row r="15" spans="2:12">
      <c r="B15" s="222" t="s">
        <v>180</v>
      </c>
      <c r="C15" s="220" t="s">
        <v>181</v>
      </c>
      <c r="D15" s="286" t="s">
        <v>182</v>
      </c>
      <c r="E15" s="221">
        <v>3</v>
      </c>
      <c r="F15" s="213" t="s">
        <v>183</v>
      </c>
      <c r="G15" s="218">
        <v>8760</v>
      </c>
      <c r="H15" s="215" t="s">
        <v>20</v>
      </c>
      <c r="I15" s="170"/>
      <c r="J15" s="91"/>
      <c r="K15" s="91"/>
    </row>
    <row r="16" spans="2:12">
      <c r="B16" s="223" t="s">
        <v>184</v>
      </c>
      <c r="C16" s="211" t="s">
        <v>185</v>
      </c>
      <c r="D16" s="285" t="s">
        <v>176</v>
      </c>
      <c r="E16" s="224">
        <v>1752000</v>
      </c>
      <c r="F16" s="213" t="s">
        <v>222</v>
      </c>
      <c r="G16" s="218">
        <v>8760</v>
      </c>
      <c r="H16" s="215" t="s">
        <v>20</v>
      </c>
      <c r="I16" s="170"/>
      <c r="J16" s="91"/>
      <c r="K16" s="91"/>
    </row>
    <row r="17" spans="2:11">
      <c r="B17" s="225" t="s">
        <v>186</v>
      </c>
      <c r="C17" s="226" t="s">
        <v>187</v>
      </c>
      <c r="D17" s="287" t="s">
        <v>27</v>
      </c>
      <c r="E17" s="221">
        <v>495</v>
      </c>
      <c r="F17" s="227" t="s">
        <v>100</v>
      </c>
      <c r="G17" s="218">
        <v>8760</v>
      </c>
      <c r="H17" s="215" t="s">
        <v>20</v>
      </c>
      <c r="I17" s="170"/>
      <c r="J17" s="91"/>
      <c r="K17" s="91"/>
    </row>
    <row r="18" spans="2:11" ht="28.5" customHeight="1">
      <c r="B18" s="228" t="s">
        <v>188</v>
      </c>
      <c r="C18" s="226" t="s">
        <v>189</v>
      </c>
      <c r="D18" s="292" t="s">
        <v>190</v>
      </c>
      <c r="E18" s="221">
        <v>3467500</v>
      </c>
      <c r="F18" s="227" t="s">
        <v>191</v>
      </c>
      <c r="G18" s="218">
        <v>8760</v>
      </c>
      <c r="H18" s="215" t="s">
        <v>20</v>
      </c>
      <c r="I18" s="170"/>
      <c r="J18" s="91"/>
      <c r="K18" s="91"/>
    </row>
    <row r="19" spans="2:11" ht="15" customHeight="1">
      <c r="B19" s="229" t="s">
        <v>192</v>
      </c>
      <c r="C19" s="230" t="s">
        <v>193</v>
      </c>
      <c r="D19" s="288" t="s">
        <v>194</v>
      </c>
      <c r="E19" s="224">
        <v>3467500</v>
      </c>
      <c r="F19" s="231" t="s">
        <v>191</v>
      </c>
      <c r="G19" s="218">
        <v>8760</v>
      </c>
      <c r="H19" s="215" t="s">
        <v>20</v>
      </c>
      <c r="I19" s="170"/>
      <c r="J19" s="91"/>
      <c r="K19" s="91"/>
    </row>
    <row r="20" spans="2:11">
      <c r="B20" s="229" t="s">
        <v>195</v>
      </c>
      <c r="C20" s="230" t="s">
        <v>196</v>
      </c>
      <c r="D20" s="288" t="s">
        <v>197</v>
      </c>
      <c r="E20" s="232">
        <v>3467500</v>
      </c>
      <c r="F20" s="213" t="s">
        <v>191</v>
      </c>
      <c r="G20" s="218">
        <v>8760</v>
      </c>
      <c r="H20" s="215" t="s">
        <v>20</v>
      </c>
      <c r="I20" s="170"/>
      <c r="J20" s="91"/>
      <c r="K20" s="91"/>
    </row>
    <row r="21" spans="2:11">
      <c r="B21" s="229" t="s">
        <v>198</v>
      </c>
      <c r="C21" s="230" t="s">
        <v>199</v>
      </c>
      <c r="D21" s="288" t="s">
        <v>200</v>
      </c>
      <c r="E21" s="224">
        <v>1200000</v>
      </c>
      <c r="F21" s="231" t="s">
        <v>191</v>
      </c>
      <c r="G21" s="218">
        <v>8760</v>
      </c>
      <c r="H21" s="215" t="s">
        <v>20</v>
      </c>
      <c r="I21" s="170"/>
      <c r="J21" s="91"/>
      <c r="K21" s="91"/>
    </row>
    <row r="22" spans="2:11">
      <c r="B22" s="229" t="s">
        <v>201</v>
      </c>
      <c r="C22" s="230" t="s">
        <v>202</v>
      </c>
      <c r="D22" s="288" t="s">
        <v>27</v>
      </c>
      <c r="E22" s="224">
        <v>525</v>
      </c>
      <c r="F22" s="231" t="s">
        <v>100</v>
      </c>
      <c r="G22" s="218">
        <v>8760</v>
      </c>
      <c r="H22" s="215" t="s">
        <v>20</v>
      </c>
      <c r="I22" s="170"/>
      <c r="J22" s="91"/>
      <c r="K22" s="91"/>
    </row>
    <row r="23" spans="2:11">
      <c r="B23" s="229" t="s">
        <v>203</v>
      </c>
      <c r="C23" s="230" t="s">
        <v>204</v>
      </c>
      <c r="D23" s="288" t="s">
        <v>27</v>
      </c>
      <c r="E23" s="221">
        <v>525</v>
      </c>
      <c r="F23" s="213" t="s">
        <v>100</v>
      </c>
      <c r="G23" s="218">
        <v>8760</v>
      </c>
      <c r="H23" s="215" t="s">
        <v>20</v>
      </c>
      <c r="I23" s="170"/>
      <c r="J23" s="91"/>
      <c r="K23" s="91"/>
    </row>
    <row r="24" spans="2:11">
      <c r="B24" s="229" t="s">
        <v>205</v>
      </c>
      <c r="C24" s="230" t="s">
        <v>206</v>
      </c>
      <c r="D24" s="288" t="s">
        <v>27</v>
      </c>
      <c r="E24" s="221">
        <v>525</v>
      </c>
      <c r="F24" s="213" t="s">
        <v>100</v>
      </c>
      <c r="G24" s="218">
        <v>8760</v>
      </c>
      <c r="H24" s="215" t="s">
        <v>20</v>
      </c>
      <c r="I24" s="170"/>
      <c r="J24" s="91"/>
      <c r="K24" s="91"/>
    </row>
    <row r="25" spans="2:11">
      <c r="B25" s="229" t="s">
        <v>207</v>
      </c>
      <c r="C25" s="230" t="s">
        <v>208</v>
      </c>
      <c r="D25" s="288" t="s">
        <v>182</v>
      </c>
      <c r="E25" s="221">
        <v>581565</v>
      </c>
      <c r="F25" s="213" t="s">
        <v>209</v>
      </c>
      <c r="G25" s="218">
        <v>8760</v>
      </c>
      <c r="H25" s="215" t="s">
        <v>20</v>
      </c>
      <c r="I25" s="170"/>
      <c r="J25" s="91"/>
      <c r="K25" s="91"/>
    </row>
    <row r="26" spans="2:11" ht="30.6" customHeight="1">
      <c r="B26" s="229" t="s">
        <v>210</v>
      </c>
      <c r="C26" s="230" t="s">
        <v>211</v>
      </c>
      <c r="D26" s="293" t="s">
        <v>212</v>
      </c>
      <c r="E26" s="221" t="s">
        <v>21</v>
      </c>
      <c r="F26" s="231" t="s">
        <v>21</v>
      </c>
      <c r="G26" s="218">
        <v>8760</v>
      </c>
      <c r="H26" s="215" t="s">
        <v>20</v>
      </c>
      <c r="I26" s="170"/>
      <c r="J26" s="91"/>
      <c r="K26" s="91"/>
    </row>
    <row r="27" spans="2:11">
      <c r="B27" s="223" t="s">
        <v>182</v>
      </c>
      <c r="C27" s="233" t="s">
        <v>213</v>
      </c>
      <c r="D27" s="289" t="s">
        <v>182</v>
      </c>
      <c r="E27" s="224">
        <v>4100</v>
      </c>
      <c r="F27" s="231" t="s">
        <v>8</v>
      </c>
      <c r="G27" s="218">
        <v>8760</v>
      </c>
      <c r="H27" s="215" t="s">
        <v>20</v>
      </c>
      <c r="I27" s="170"/>
      <c r="J27" s="91"/>
      <c r="K27" s="91"/>
    </row>
    <row r="28" spans="2:11">
      <c r="B28" s="223" t="s">
        <v>182</v>
      </c>
      <c r="C28" s="233" t="s">
        <v>214</v>
      </c>
      <c r="D28" s="289" t="s">
        <v>182</v>
      </c>
      <c r="E28" s="224">
        <v>2145</v>
      </c>
      <c r="F28" s="231" t="s">
        <v>8</v>
      </c>
      <c r="G28" s="218">
        <v>8760</v>
      </c>
      <c r="H28" s="215" t="s">
        <v>20</v>
      </c>
      <c r="I28" s="170"/>
      <c r="J28" s="91"/>
      <c r="K28" s="91"/>
    </row>
    <row r="29" spans="2:11">
      <c r="B29" s="223" t="s">
        <v>182</v>
      </c>
      <c r="C29" s="233" t="s">
        <v>215</v>
      </c>
      <c r="D29" s="289" t="s">
        <v>216</v>
      </c>
      <c r="E29" s="224">
        <v>15000</v>
      </c>
      <c r="F29" s="231" t="s">
        <v>8</v>
      </c>
      <c r="G29" s="218">
        <v>8760</v>
      </c>
      <c r="H29" s="215" t="s">
        <v>20</v>
      </c>
      <c r="I29" s="170"/>
      <c r="J29" s="91"/>
      <c r="K29" s="91"/>
    </row>
    <row r="30" spans="2:11">
      <c r="B30" s="223" t="s">
        <v>182</v>
      </c>
      <c r="C30" s="233" t="s">
        <v>217</v>
      </c>
      <c r="D30" s="289" t="s">
        <v>216</v>
      </c>
      <c r="E30" s="224">
        <v>14316</v>
      </c>
      <c r="F30" s="231" t="s">
        <v>8</v>
      </c>
      <c r="G30" s="218">
        <v>8760</v>
      </c>
      <c r="H30" s="215" t="s">
        <v>20</v>
      </c>
      <c r="I30" s="170"/>
      <c r="J30" s="91"/>
      <c r="K30" s="91"/>
    </row>
    <row r="31" spans="2:11">
      <c r="B31" s="223" t="s">
        <v>182</v>
      </c>
      <c r="C31" s="233" t="s">
        <v>218</v>
      </c>
      <c r="D31" s="289" t="s">
        <v>216</v>
      </c>
      <c r="E31" s="234">
        <v>5250</v>
      </c>
      <c r="F31" s="213" t="s">
        <v>8</v>
      </c>
      <c r="G31" s="218">
        <v>8760</v>
      </c>
      <c r="H31" s="215" t="s">
        <v>20</v>
      </c>
      <c r="I31" s="170"/>
      <c r="J31" s="91"/>
      <c r="K31" s="91"/>
    </row>
    <row r="32" spans="2:11">
      <c r="B32" s="223" t="s">
        <v>182</v>
      </c>
      <c r="C32" s="233" t="s">
        <v>219</v>
      </c>
      <c r="D32" s="289" t="s">
        <v>216</v>
      </c>
      <c r="E32" s="221">
        <v>30000</v>
      </c>
      <c r="F32" s="213" t="s">
        <v>8</v>
      </c>
      <c r="G32" s="221">
        <v>8760</v>
      </c>
      <c r="H32" s="235" t="s">
        <v>20</v>
      </c>
      <c r="I32" s="170"/>
      <c r="J32" s="91"/>
      <c r="K32" s="91"/>
    </row>
    <row r="33" spans="2:12">
      <c r="B33" s="223" t="s">
        <v>182</v>
      </c>
      <c r="C33" s="233" t="s">
        <v>220</v>
      </c>
      <c r="D33" s="289" t="s">
        <v>216</v>
      </c>
      <c r="E33" s="224">
        <v>20000</v>
      </c>
      <c r="F33" s="231" t="s">
        <v>8</v>
      </c>
      <c r="G33" s="218">
        <v>8760</v>
      </c>
      <c r="H33" s="215" t="s">
        <v>20</v>
      </c>
      <c r="I33" s="170"/>
      <c r="J33" s="91"/>
      <c r="K33" s="91"/>
    </row>
    <row r="34" spans="2:12">
      <c r="B34" s="223" t="s">
        <v>182</v>
      </c>
      <c r="C34" s="233" t="s">
        <v>221</v>
      </c>
      <c r="D34" s="289" t="s">
        <v>216</v>
      </c>
      <c r="E34" s="221">
        <v>7000</v>
      </c>
      <c r="F34" s="213" t="s">
        <v>8</v>
      </c>
      <c r="G34" s="218">
        <v>8760</v>
      </c>
      <c r="H34" s="215" t="s">
        <v>20</v>
      </c>
      <c r="I34" s="170"/>
      <c r="J34" s="91"/>
      <c r="K34" s="91"/>
    </row>
    <row r="35" spans="2:12" ht="16.5" customHeight="1" thickBot="1">
      <c r="B35" s="236"/>
      <c r="C35" s="237"/>
      <c r="D35" s="290"/>
      <c r="E35" s="206"/>
      <c r="F35" s="207"/>
      <c r="G35" s="208"/>
      <c r="H35" s="209"/>
      <c r="I35" s="170"/>
      <c r="J35" s="91"/>
      <c r="K35" s="91"/>
    </row>
    <row r="37" spans="2:12">
      <c r="B37" s="161" t="s">
        <v>49</v>
      </c>
    </row>
    <row r="38" spans="2:12" ht="5.25" customHeight="1" thickBot="1"/>
    <row r="39" spans="2:12" ht="5.25" customHeight="1">
      <c r="B39" s="196"/>
      <c r="C39" s="197"/>
      <c r="D39" s="199"/>
      <c r="E39" s="238"/>
      <c r="F39" s="198"/>
      <c r="G39" s="142"/>
      <c r="H39" s="142"/>
      <c r="I39" s="254"/>
      <c r="J39" s="170"/>
      <c r="K39" s="91"/>
    </row>
    <row r="40" spans="2:12">
      <c r="B40" s="202" t="s">
        <v>28</v>
      </c>
      <c r="C40" s="203" t="s">
        <v>50</v>
      </c>
      <c r="D40" s="239" t="s">
        <v>52</v>
      </c>
      <c r="E40" s="203" t="s">
        <v>53</v>
      </c>
      <c r="F40" s="212" t="s">
        <v>51</v>
      </c>
      <c r="G40" s="145"/>
      <c r="H40" s="145"/>
      <c r="I40" s="255"/>
      <c r="J40" s="170"/>
      <c r="K40" s="91"/>
    </row>
    <row r="41" spans="2:12" ht="6" customHeight="1" thickBot="1">
      <c r="B41" s="204"/>
      <c r="C41" s="205"/>
      <c r="D41" s="207"/>
      <c r="E41" s="240"/>
      <c r="F41" s="206"/>
      <c r="G41" s="241"/>
      <c r="H41" s="241"/>
      <c r="I41" s="256"/>
      <c r="J41" s="170"/>
      <c r="K41" s="91"/>
    </row>
    <row r="42" spans="2:12" ht="3" customHeight="1">
      <c r="B42" s="179"/>
      <c r="C42" s="257"/>
      <c r="D42" s="242"/>
      <c r="E42" s="243"/>
      <c r="F42" s="244"/>
      <c r="G42" s="242"/>
      <c r="H42" s="242"/>
      <c r="I42" s="245"/>
      <c r="J42" s="170"/>
      <c r="K42" s="91"/>
    </row>
    <row r="43" spans="2:12">
      <c r="B43" s="179" t="s">
        <v>29</v>
      </c>
      <c r="C43" s="257" t="s">
        <v>55</v>
      </c>
      <c r="D43" s="246">
        <v>1059</v>
      </c>
      <c r="E43" s="243" t="s">
        <v>30</v>
      </c>
      <c r="F43" s="258" t="s">
        <v>257</v>
      </c>
      <c r="G43" s="259"/>
      <c r="H43" s="259"/>
      <c r="I43" s="260"/>
      <c r="J43" s="170"/>
      <c r="K43" s="91"/>
    </row>
    <row r="44" spans="2:12">
      <c r="B44" s="179" t="s">
        <v>48</v>
      </c>
      <c r="C44" s="257" t="s">
        <v>55</v>
      </c>
      <c r="D44" s="246">
        <v>90</v>
      </c>
      <c r="E44" s="243" t="s">
        <v>30</v>
      </c>
      <c r="F44" s="258" t="s">
        <v>257</v>
      </c>
      <c r="G44" s="259"/>
      <c r="H44" s="259"/>
      <c r="I44" s="260"/>
      <c r="J44" s="170"/>
      <c r="K44" s="91"/>
    </row>
    <row r="45" spans="2:12">
      <c r="B45" s="179" t="s">
        <v>258</v>
      </c>
      <c r="C45" s="257" t="s">
        <v>55</v>
      </c>
      <c r="D45" s="261">
        <v>516.29999999999995</v>
      </c>
      <c r="E45" s="243" t="s">
        <v>30</v>
      </c>
      <c r="F45" s="258" t="s">
        <v>257</v>
      </c>
      <c r="G45" s="263"/>
      <c r="H45" s="263"/>
      <c r="I45" s="264"/>
      <c r="J45" s="170"/>
      <c r="K45" s="91"/>
    </row>
    <row r="46" spans="2:12">
      <c r="B46" s="179" t="s">
        <v>54</v>
      </c>
      <c r="C46" s="257" t="s">
        <v>55</v>
      </c>
      <c r="D46" s="246">
        <v>137000</v>
      </c>
      <c r="E46" s="243" t="s">
        <v>119</v>
      </c>
      <c r="F46" s="258" t="s">
        <v>124</v>
      </c>
      <c r="G46" s="259"/>
      <c r="H46" s="259"/>
      <c r="I46" s="260"/>
      <c r="J46" s="170"/>
      <c r="K46" s="91"/>
    </row>
    <row r="47" spans="2:12">
      <c r="B47" s="179" t="s">
        <v>123</v>
      </c>
      <c r="C47" s="257" t="s">
        <v>55</v>
      </c>
      <c r="D47" s="246">
        <v>150000</v>
      </c>
      <c r="E47" s="243" t="s">
        <v>119</v>
      </c>
      <c r="F47" s="258" t="s">
        <v>349</v>
      </c>
      <c r="G47" s="259"/>
      <c r="H47" s="259"/>
      <c r="I47" s="260"/>
      <c r="J47" s="170"/>
      <c r="K47" s="262"/>
      <c r="L47" s="132"/>
    </row>
    <row r="48" spans="2:12">
      <c r="B48" s="179" t="s">
        <v>123</v>
      </c>
      <c r="C48" s="257" t="s">
        <v>348</v>
      </c>
      <c r="D48" s="350">
        <v>1</v>
      </c>
      <c r="E48" s="243" t="s">
        <v>13</v>
      </c>
      <c r="F48" s="780" t="s">
        <v>349</v>
      </c>
      <c r="G48" s="781"/>
      <c r="H48" s="781"/>
      <c r="I48" s="782"/>
      <c r="J48" s="170"/>
      <c r="K48" s="262"/>
      <c r="L48" s="132"/>
    </row>
    <row r="49" spans="2:11" ht="5.25" customHeight="1" thickBot="1">
      <c r="B49" s="164"/>
      <c r="C49" s="248"/>
      <c r="D49" s="249"/>
      <c r="E49" s="250"/>
      <c r="F49" s="251"/>
      <c r="G49" s="249"/>
      <c r="H49" s="249"/>
      <c r="I49" s="252"/>
      <c r="J49" s="170"/>
      <c r="K49" s="91"/>
    </row>
    <row r="50" spans="2:11" ht="5.25" customHeight="1"/>
    <row r="52" spans="2:11" ht="13.5" thickBot="1">
      <c r="B52" s="161" t="s">
        <v>120</v>
      </c>
    </row>
    <row r="53" spans="2:11" ht="7.5" customHeight="1">
      <c r="B53" s="265"/>
      <c r="C53" s="266"/>
      <c r="D53" s="158"/>
    </row>
    <row r="54" spans="2:11">
      <c r="B54" s="267" t="s">
        <v>121</v>
      </c>
      <c r="C54" s="268" t="s">
        <v>130</v>
      </c>
      <c r="D54" s="291"/>
    </row>
    <row r="55" spans="2:11" ht="7.5" customHeight="1" thickBot="1">
      <c r="B55" s="269"/>
      <c r="C55" s="270"/>
      <c r="D55" s="158"/>
    </row>
    <row r="56" spans="2:11">
      <c r="B56" s="271" t="s">
        <v>122</v>
      </c>
      <c r="C56" s="272">
        <v>12.01</v>
      </c>
      <c r="D56" s="95"/>
    </row>
    <row r="57" spans="2:11" ht="15" thickBot="1">
      <c r="B57" s="247" t="s">
        <v>165</v>
      </c>
      <c r="C57" s="273">
        <v>44.01</v>
      </c>
      <c r="D57" s="95"/>
    </row>
    <row r="58" spans="2:11" ht="13.5" thickBot="1"/>
    <row r="59" spans="2:11" ht="4.5" customHeight="1">
      <c r="B59" s="265"/>
      <c r="C59" s="272"/>
      <c r="D59" s="95"/>
      <c r="E59" s="242"/>
    </row>
    <row r="60" spans="2:11" ht="14.25">
      <c r="B60" s="267" t="s">
        <v>121</v>
      </c>
      <c r="C60" s="268" t="s">
        <v>166</v>
      </c>
      <c r="D60" s="291"/>
      <c r="E60" s="274"/>
    </row>
    <row r="61" spans="2:11" ht="6" customHeight="1" thickBot="1">
      <c r="B61" s="269"/>
      <c r="C61" s="275"/>
      <c r="D61" s="95"/>
      <c r="E61" s="242"/>
    </row>
    <row r="62" spans="2:11" ht="14.25">
      <c r="B62" s="271" t="s">
        <v>165</v>
      </c>
      <c r="C62" s="272">
        <v>1</v>
      </c>
      <c r="D62" s="95"/>
      <c r="E62" s="242"/>
    </row>
    <row r="63" spans="2:11" ht="14.25">
      <c r="B63" s="219" t="s">
        <v>167</v>
      </c>
      <c r="C63" s="275">
        <v>25</v>
      </c>
      <c r="D63" s="95"/>
      <c r="E63" s="242"/>
    </row>
    <row r="64" spans="2:11" ht="15" thickBot="1">
      <c r="B64" s="247" t="s">
        <v>168</v>
      </c>
      <c r="C64" s="273">
        <v>298</v>
      </c>
      <c r="D64" s="95"/>
      <c r="E64" s="242"/>
    </row>
    <row r="65" spans="2:9" ht="15">
      <c r="B65" s="253" t="s">
        <v>169</v>
      </c>
    </row>
    <row r="66" spans="2:9" ht="16.5" customHeight="1">
      <c r="B66" s="276" t="s">
        <v>170</v>
      </c>
      <c r="C66" s="277"/>
      <c r="D66" s="277"/>
      <c r="E66" s="180"/>
      <c r="F66" s="180"/>
      <c r="G66" s="180"/>
      <c r="H66" s="180"/>
      <c r="I66" s="180"/>
    </row>
  </sheetData>
  <mergeCells count="4">
    <mergeCell ref="D2:F2"/>
    <mergeCell ref="F48:I48"/>
    <mergeCell ref="E10:F10"/>
    <mergeCell ref="G10:H10"/>
  </mergeCells>
  <phoneticPr fontId="41" type="noConversion"/>
  <pageMargins left="0.2" right="0.2" top="0.5" bottom="0.5" header="0.3" footer="0.3"/>
  <pageSetup scale="67" fitToHeight="0" orientation="landscape" horizontalDpi="1200" verticalDpi="1200" r:id="rId1"/>
  <colBreaks count="1" manualBreakCount="1">
    <brk id="10" min="1" max="53"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080EE-A44D-42AD-83A0-5CCA94187798}">
  <dimension ref="B1:K40"/>
  <sheetViews>
    <sheetView zoomScaleNormal="100" zoomScaleSheetLayoutView="100" workbookViewId="0">
      <selection activeCell="E23" sqref="E23"/>
    </sheetView>
  </sheetViews>
  <sheetFormatPr defaultColWidth="9.140625" defaultRowHeight="12.75"/>
  <cols>
    <col min="1" max="1" width="2.42578125" style="90" customWidth="1"/>
    <col min="2" max="2" width="43.7109375" style="90" customWidth="1"/>
    <col min="3" max="6" width="13.140625" style="90" customWidth="1"/>
    <col min="7" max="7" width="63.5703125" style="90" customWidth="1"/>
    <col min="8" max="8" width="9.140625" style="92"/>
    <col min="9" max="16384" width="9.140625" style="90"/>
  </cols>
  <sheetData>
    <row r="1" spans="2:8" s="1" customFormat="1" ht="11.25" customHeight="1">
      <c r="H1" s="304"/>
    </row>
    <row r="2" spans="2:8" s="6" customFormat="1">
      <c r="B2" s="5" t="str">
        <f>'Key Inputs'!B2</f>
        <v>Company Name:</v>
      </c>
      <c r="C2" s="279" t="str">
        <f>'Key Inputs'!C2</f>
        <v>U. S. Steel Corp.</v>
      </c>
      <c r="F2" s="5"/>
      <c r="H2" s="305"/>
    </row>
    <row r="3" spans="2:8" s="6" customFormat="1">
      <c r="B3" s="5" t="str">
        <f>'Key Inputs'!B3</f>
        <v>Site Name:</v>
      </c>
      <c r="C3" s="279" t="str">
        <f>'Key Inputs'!C3</f>
        <v>Edgar Thomson Plant</v>
      </c>
      <c r="F3" s="5"/>
      <c r="H3" s="305"/>
    </row>
    <row r="4" spans="2:8" s="6" customFormat="1">
      <c r="B4" s="5" t="str">
        <f>'Key Inputs'!B4</f>
        <v>Description:</v>
      </c>
      <c r="C4" s="279" t="str">
        <f>'Key Inputs'!C4</f>
        <v>Title V Permit Renewal</v>
      </c>
      <c r="F4" s="5"/>
      <c r="H4" s="305"/>
    </row>
    <row r="5" spans="2:8" s="6" customFormat="1">
      <c r="B5" s="5" t="str">
        <f>'Key Inputs'!B5</f>
        <v>Date:</v>
      </c>
      <c r="C5" s="281" t="str">
        <f>'Key Inputs'!C5</f>
        <v>10/7/2020 - DRAFT</v>
      </c>
      <c r="F5" s="5"/>
      <c r="H5" s="305"/>
    </row>
    <row r="6" spans="2:8" s="6" customFormat="1">
      <c r="B6" s="5"/>
      <c r="C6" s="5"/>
      <c r="D6" s="5"/>
      <c r="F6" s="5"/>
      <c r="H6" s="305"/>
    </row>
    <row r="7" spans="2:8" s="11" customFormat="1">
      <c r="B7" s="85" t="s">
        <v>317</v>
      </c>
      <c r="C7" s="10"/>
      <c r="D7" s="10"/>
      <c r="F7" s="10"/>
      <c r="H7" s="306"/>
    </row>
    <row r="8" spans="2:8" s="16" customFormat="1">
      <c r="B8" s="14"/>
      <c r="C8" s="15"/>
      <c r="H8" s="304"/>
    </row>
    <row r="9" spans="2:8" s="18" customFormat="1" ht="16.5" customHeight="1">
      <c r="B9" s="20" t="s">
        <v>25</v>
      </c>
      <c r="C9" s="20" t="s">
        <v>318</v>
      </c>
      <c r="D9" s="20"/>
      <c r="E9" s="21"/>
      <c r="F9" s="21"/>
      <c r="H9" s="307"/>
    </row>
    <row r="10" spans="2:8" s="18" customFormat="1">
      <c r="B10" s="20" t="s">
        <v>56</v>
      </c>
      <c r="C10" s="23" t="s">
        <v>319</v>
      </c>
      <c r="D10" s="20"/>
      <c r="E10" s="21"/>
      <c r="F10" s="21"/>
      <c r="H10" s="307"/>
    </row>
    <row r="11" spans="2:8" s="18" customFormat="1">
      <c r="B11" s="20" t="s">
        <v>291</v>
      </c>
      <c r="C11" s="23" t="s">
        <v>320</v>
      </c>
      <c r="D11" s="20"/>
      <c r="E11" s="21"/>
      <c r="F11" s="21"/>
      <c r="H11" s="307"/>
    </row>
    <row r="12" spans="2:8" s="18" customFormat="1">
      <c r="B12" s="20" t="s">
        <v>26</v>
      </c>
      <c r="C12" s="24">
        <f>'Key Inputs'!$G$21</f>
        <v>8760</v>
      </c>
      <c r="D12" s="21" t="s">
        <v>10</v>
      </c>
      <c r="E12" s="21"/>
      <c r="F12" s="21"/>
      <c r="G12" s="87"/>
      <c r="H12" s="307"/>
    </row>
    <row r="13" spans="2:8" s="18" customFormat="1" ht="15" customHeight="1">
      <c r="B13" s="20" t="s">
        <v>14</v>
      </c>
      <c r="C13" s="335" t="s">
        <v>15</v>
      </c>
      <c r="D13" s="21"/>
      <c r="E13" s="21"/>
      <c r="F13" s="21"/>
      <c r="G13" s="87"/>
      <c r="H13" s="307"/>
    </row>
    <row r="14" spans="2:8" s="18" customFormat="1">
      <c r="B14" s="19" t="s">
        <v>63</v>
      </c>
      <c r="C14" s="184">
        <v>99</v>
      </c>
      <c r="D14" s="21" t="s">
        <v>13</v>
      </c>
      <c r="G14" s="20"/>
      <c r="H14" s="307"/>
    </row>
    <row r="15" spans="2:8" s="18" customFormat="1">
      <c r="B15" s="20" t="s">
        <v>95</v>
      </c>
      <c r="C15" s="24">
        <v>442</v>
      </c>
      <c r="D15" s="21" t="s">
        <v>321</v>
      </c>
      <c r="E15" s="21"/>
      <c r="F15" s="21"/>
      <c r="H15" s="307" t="s">
        <v>255</v>
      </c>
    </row>
    <row r="16" spans="2:8" s="18" customFormat="1">
      <c r="B16" s="20"/>
      <c r="C16" s="24"/>
      <c r="D16" s="21"/>
      <c r="E16" s="21"/>
      <c r="F16" s="21"/>
      <c r="H16" s="307"/>
    </row>
    <row r="17" spans="2:11" s="18" customFormat="1" ht="6" customHeight="1" thickBot="1">
      <c r="D17" s="27"/>
      <c r="E17" s="25"/>
      <c r="F17" s="25"/>
      <c r="H17" s="307"/>
    </row>
    <row r="18" spans="2:11" s="18" customFormat="1" ht="6" customHeight="1">
      <c r="B18" s="28"/>
      <c r="C18" s="29"/>
      <c r="D18" s="30"/>
      <c r="E18" s="31"/>
      <c r="F18" s="31"/>
      <c r="G18" s="32"/>
      <c r="H18" s="307"/>
    </row>
    <row r="19" spans="2:11" s="37" customFormat="1" ht="41.45" customHeight="1">
      <c r="B19" s="33" t="s">
        <v>32</v>
      </c>
      <c r="C19" s="34" t="s">
        <v>97</v>
      </c>
      <c r="D19" s="34" t="s">
        <v>33</v>
      </c>
      <c r="E19" s="34" t="s">
        <v>34</v>
      </c>
      <c r="F19" s="34" t="s">
        <v>35</v>
      </c>
      <c r="G19" s="35" t="s">
        <v>36</v>
      </c>
      <c r="H19" s="308"/>
    </row>
    <row r="20" spans="2:11" s="18" customFormat="1" ht="6" customHeight="1" thickBot="1">
      <c r="B20" s="38"/>
      <c r="C20" s="39"/>
      <c r="D20" s="40"/>
      <c r="E20" s="41"/>
      <c r="F20" s="41"/>
      <c r="G20" s="42"/>
      <c r="H20" s="307"/>
    </row>
    <row r="21" spans="2:11" s="18" customFormat="1" ht="6" customHeight="1">
      <c r="B21" s="28"/>
      <c r="C21" s="29"/>
      <c r="D21" s="30"/>
      <c r="E21" s="31"/>
      <c r="F21" s="31"/>
      <c r="G21" s="32"/>
      <c r="H21" s="307"/>
    </row>
    <row r="22" spans="2:11" s="16" customFormat="1">
      <c r="B22" s="43" t="s">
        <v>37</v>
      </c>
      <c r="C22" s="44"/>
      <c r="D22" s="45"/>
      <c r="E22" s="46"/>
      <c r="F22" s="46"/>
      <c r="G22" s="47"/>
      <c r="H22" s="304"/>
    </row>
    <row r="23" spans="2:11" s="16" customFormat="1">
      <c r="B23" s="48" t="s">
        <v>228</v>
      </c>
      <c r="C23" s="49">
        <f>D23*2000/$C$12</f>
        <v>1.0091324200913243</v>
      </c>
      <c r="D23" s="50">
        <f>E23*$C$15/2000</f>
        <v>4.42</v>
      </c>
      <c r="E23" s="342">
        <f>(C15*2000)*(100-C14)%/C15</f>
        <v>20</v>
      </c>
      <c r="F23" s="52" t="s">
        <v>96</v>
      </c>
      <c r="G23" s="301" t="s">
        <v>322</v>
      </c>
      <c r="H23" s="304" t="s">
        <v>255</v>
      </c>
    </row>
    <row r="24" spans="2:11" s="16" customFormat="1" ht="14.25">
      <c r="B24" s="48" t="s">
        <v>229</v>
      </c>
      <c r="C24" s="49">
        <f>D24*2000/$C$12</f>
        <v>0.35319634703196345</v>
      </c>
      <c r="D24" s="50">
        <f t="shared" ref="D24:D25" si="0">E24*$C$15/2000</f>
        <v>1.5469999999999999</v>
      </c>
      <c r="E24" s="342">
        <f>E23*0.35</f>
        <v>7</v>
      </c>
      <c r="F24" s="52" t="s">
        <v>96</v>
      </c>
      <c r="G24" s="302" t="s">
        <v>323</v>
      </c>
      <c r="H24" s="304"/>
    </row>
    <row r="25" spans="2:11" s="16" customFormat="1" ht="14.25">
      <c r="B25" s="48" t="s">
        <v>230</v>
      </c>
      <c r="C25" s="49">
        <f>D25*2000/$C$12</f>
        <v>5.3484018264840186E-2</v>
      </c>
      <c r="D25" s="50">
        <f t="shared" si="0"/>
        <v>0.23426000000000002</v>
      </c>
      <c r="E25" s="187">
        <f>E23*0.053</f>
        <v>1.06</v>
      </c>
      <c r="F25" s="52" t="s">
        <v>96</v>
      </c>
      <c r="G25" s="302" t="s">
        <v>324</v>
      </c>
      <c r="H25" s="304"/>
    </row>
    <row r="26" spans="2:11">
      <c r="B26" s="48"/>
      <c r="C26" s="158"/>
      <c r="D26" s="158"/>
      <c r="E26" s="158"/>
      <c r="F26" s="158"/>
      <c r="G26" s="159"/>
    </row>
    <row r="27" spans="2:11" s="16" customFormat="1">
      <c r="B27" s="43" t="s">
        <v>41</v>
      </c>
      <c r="C27" s="49"/>
      <c r="D27" s="50"/>
      <c r="E27" s="80"/>
      <c r="F27" s="52"/>
      <c r="G27" s="301"/>
      <c r="I27" s="304"/>
      <c r="J27" s="304"/>
      <c r="K27" s="304"/>
    </row>
    <row r="28" spans="2:11" s="16" customFormat="1">
      <c r="B28" s="58" t="s">
        <v>86</v>
      </c>
      <c r="C28" s="49"/>
      <c r="D28" s="50"/>
      <c r="E28" s="80"/>
      <c r="F28" s="52"/>
      <c r="G28" s="301"/>
      <c r="I28" s="304"/>
      <c r="J28" s="304"/>
      <c r="K28" s="304"/>
    </row>
    <row r="29" spans="2:11" s="16" customFormat="1">
      <c r="B29" s="48" t="s">
        <v>234</v>
      </c>
      <c r="C29" s="62">
        <f>$C$24*E29%</f>
        <v>9.3110548144977147E-7</v>
      </c>
      <c r="D29" s="62">
        <f>$D$24*E29%</f>
        <v>4.0782420087499995E-6</v>
      </c>
      <c r="E29" s="82">
        <v>2.6362262499999997E-4</v>
      </c>
      <c r="F29" s="52" t="s">
        <v>245</v>
      </c>
      <c r="G29" s="301" t="s">
        <v>325</v>
      </c>
      <c r="I29" s="304"/>
      <c r="J29" s="304"/>
      <c r="K29" s="304"/>
    </row>
    <row r="30" spans="2:11" s="16" customFormat="1">
      <c r="B30" s="48" t="s">
        <v>235</v>
      </c>
      <c r="C30" s="62">
        <f t="shared" ref="C30:C40" si="1">$C$24*E30%</f>
        <v>3.3434537499999998E-7</v>
      </c>
      <c r="D30" s="62">
        <f t="shared" ref="D30:D40" si="2">$D$24*E30%</f>
        <v>1.4644327424999998E-6</v>
      </c>
      <c r="E30" s="82">
        <v>9.4662749999999994E-5</v>
      </c>
      <c r="F30" s="52" t="s">
        <v>245</v>
      </c>
      <c r="G30" s="301" t="s">
        <v>325</v>
      </c>
      <c r="I30" s="304"/>
      <c r="J30" s="304"/>
      <c r="K30" s="304"/>
    </row>
    <row r="31" spans="2:11" s="16" customFormat="1">
      <c r="B31" s="48" t="s">
        <v>236</v>
      </c>
      <c r="C31" s="62">
        <f t="shared" si="1"/>
        <v>4.0163722602739721E-7</v>
      </c>
      <c r="D31" s="62">
        <f t="shared" si="2"/>
        <v>1.7591710499999998E-6</v>
      </c>
      <c r="E31" s="82">
        <v>1.1371499999999999E-4</v>
      </c>
      <c r="F31" s="52" t="s">
        <v>245</v>
      </c>
      <c r="G31" s="301" t="s">
        <v>325</v>
      </c>
      <c r="I31" s="304"/>
      <c r="J31" s="304"/>
      <c r="K31" s="304"/>
    </row>
    <row r="32" spans="2:11" s="16" customFormat="1">
      <c r="B32" s="48" t="s">
        <v>237</v>
      </c>
      <c r="C32" s="62">
        <f t="shared" si="1"/>
        <v>5.2670846746575339E-6</v>
      </c>
      <c r="D32" s="62">
        <f t="shared" si="2"/>
        <v>2.3069830874999999E-5</v>
      </c>
      <c r="E32" s="82">
        <v>1.4912625000000001E-3</v>
      </c>
      <c r="F32" s="52" t="s">
        <v>245</v>
      </c>
      <c r="G32" s="301" t="s">
        <v>325</v>
      </c>
      <c r="I32" s="304"/>
      <c r="J32" s="304"/>
      <c r="K32" s="304"/>
    </row>
    <row r="33" spans="2:11" s="16" customFormat="1">
      <c r="B33" s="48" t="s">
        <v>238</v>
      </c>
      <c r="C33" s="62">
        <f t="shared" si="1"/>
        <v>8.9957343607305941E-6</v>
      </c>
      <c r="D33" s="62">
        <f t="shared" si="2"/>
        <v>3.94013165E-5</v>
      </c>
      <c r="E33" s="82">
        <v>2.5469500000000001E-3</v>
      </c>
      <c r="F33" s="52" t="s">
        <v>245</v>
      </c>
      <c r="G33" s="301" t="s">
        <v>325</v>
      </c>
      <c r="I33" s="304"/>
      <c r="J33" s="304"/>
      <c r="K33" s="304"/>
    </row>
    <row r="34" spans="2:11" s="16" customFormat="1">
      <c r="B34" s="48" t="s">
        <v>239</v>
      </c>
      <c r="C34" s="62">
        <f t="shared" si="1"/>
        <v>1.4497694606164386E-6</v>
      </c>
      <c r="D34" s="62">
        <f t="shared" si="2"/>
        <v>6.3499902375000013E-6</v>
      </c>
      <c r="E34" s="82">
        <v>4.1047125000000007E-4</v>
      </c>
      <c r="F34" s="52" t="s">
        <v>245</v>
      </c>
      <c r="G34" s="301" t="s">
        <v>325</v>
      </c>
      <c r="I34" s="304"/>
      <c r="J34" s="304"/>
      <c r="K34" s="304"/>
    </row>
    <row r="35" spans="2:11" s="16" customFormat="1">
      <c r="B35" s="48" t="s">
        <v>91</v>
      </c>
      <c r="C35" s="62">
        <f t="shared" si="1"/>
        <v>4.2453759417808222E-5</v>
      </c>
      <c r="D35" s="62">
        <f t="shared" si="2"/>
        <v>1.8594746625000001E-4</v>
      </c>
      <c r="E35" s="82">
        <v>1.2019875000000001E-2</v>
      </c>
      <c r="F35" s="52" t="s">
        <v>245</v>
      </c>
      <c r="G35" s="301" t="s">
        <v>325</v>
      </c>
      <c r="I35" s="304"/>
      <c r="J35" s="304"/>
      <c r="K35" s="304"/>
    </row>
    <row r="36" spans="2:11" s="16" customFormat="1">
      <c r="B36" s="48" t="s">
        <v>240</v>
      </c>
      <c r="C36" s="62">
        <f t="shared" si="1"/>
        <v>1.2166554566210048E-3</v>
      </c>
      <c r="D36" s="62">
        <f t="shared" si="2"/>
        <v>5.3289509000000006E-3</v>
      </c>
      <c r="E36" s="82">
        <v>0.34447000000000005</v>
      </c>
      <c r="F36" s="52" t="s">
        <v>245</v>
      </c>
      <c r="G36" s="301" t="s">
        <v>325</v>
      </c>
      <c r="I36" s="304"/>
      <c r="J36" s="304"/>
      <c r="K36" s="304"/>
    </row>
    <row r="37" spans="2:11" s="16" customFormat="1">
      <c r="B37" s="48" t="s">
        <v>241</v>
      </c>
      <c r="C37" s="62">
        <f t="shared" si="1"/>
        <v>1.2213529680365298E-9</v>
      </c>
      <c r="D37" s="62">
        <f t="shared" si="2"/>
        <v>5.3495260000000002E-9</v>
      </c>
      <c r="E37" s="82">
        <v>3.4580000000000004E-7</v>
      </c>
      <c r="F37" s="52" t="s">
        <v>245</v>
      </c>
      <c r="G37" s="301" t="s">
        <v>325</v>
      </c>
      <c r="I37" s="304"/>
      <c r="J37" s="304"/>
      <c r="K37" s="304"/>
    </row>
    <row r="38" spans="2:11" s="16" customFormat="1">
      <c r="B38" s="48" t="s">
        <v>242</v>
      </c>
      <c r="C38" s="62">
        <f t="shared" si="1"/>
        <v>2.2031328538812787E-6</v>
      </c>
      <c r="D38" s="62">
        <f t="shared" si="2"/>
        <v>9.6497219000000004E-6</v>
      </c>
      <c r="E38" s="82">
        <v>6.2377000000000005E-4</v>
      </c>
      <c r="F38" s="52" t="s">
        <v>245</v>
      </c>
      <c r="G38" s="301" t="s">
        <v>325</v>
      </c>
      <c r="I38" s="304"/>
      <c r="J38" s="304"/>
      <c r="K38" s="304"/>
    </row>
    <row r="39" spans="2:11" s="16" customFormat="1">
      <c r="B39" s="48" t="s">
        <v>243</v>
      </c>
      <c r="C39" s="62">
        <f t="shared" si="1"/>
        <v>4.1308741010273978E-7</v>
      </c>
      <c r="D39" s="62">
        <f t="shared" si="2"/>
        <v>1.8093228562500002E-6</v>
      </c>
      <c r="E39" s="82">
        <v>1.1695687500000001E-4</v>
      </c>
      <c r="F39" s="52" t="s">
        <v>245</v>
      </c>
      <c r="G39" s="301" t="s">
        <v>325</v>
      </c>
      <c r="I39" s="304"/>
      <c r="J39" s="304"/>
      <c r="K39" s="304"/>
    </row>
    <row r="40" spans="2:11" s="16" customFormat="1" ht="13.5" thickBot="1">
      <c r="B40" s="343" t="s">
        <v>244</v>
      </c>
      <c r="C40" s="344">
        <f t="shared" si="1"/>
        <v>3.5319634703196345E-4</v>
      </c>
      <c r="D40" s="344">
        <f t="shared" si="2"/>
        <v>1.547E-3</v>
      </c>
      <c r="E40" s="345">
        <v>0.1</v>
      </c>
      <c r="F40" s="241" t="s">
        <v>245</v>
      </c>
      <c r="G40" s="346" t="s">
        <v>325</v>
      </c>
      <c r="I40" s="304"/>
      <c r="J40" s="304"/>
      <c r="K40" s="304"/>
    </row>
  </sheetData>
  <pageMargins left="0.2" right="0.2" top="0.25" bottom="0.25" header="0.05" footer="0.05"/>
  <pageSetup scale="75" fitToWidth="0" fitToHeight="0"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57669-9105-48F3-BA74-0C7446BED7A9}">
  <dimension ref="B1:R113"/>
  <sheetViews>
    <sheetView topLeftCell="A92" zoomScaleNormal="100" zoomScaleSheetLayoutView="100" workbookViewId="0">
      <selection activeCell="K88" sqref="K88"/>
    </sheetView>
  </sheetViews>
  <sheetFormatPr defaultColWidth="9.140625" defaultRowHeight="12.75"/>
  <cols>
    <col min="1" max="1" width="2.42578125" style="1" customWidth="1"/>
    <col min="2" max="2" width="39.85546875" style="1" customWidth="1"/>
    <col min="3" max="3" width="11.7109375" style="1" customWidth="1"/>
    <col min="4" max="4" width="12" style="1" customWidth="1"/>
    <col min="5" max="5" width="8.7109375" style="1" bestFit="1" customWidth="1"/>
    <col min="6" max="6" width="10.28515625" style="1" bestFit="1" customWidth="1"/>
    <col min="7" max="7" width="64.5703125" style="2" bestFit="1" customWidth="1"/>
    <col min="8" max="8" width="9.140625" style="1"/>
    <col min="9" max="11" width="9.140625" style="304"/>
    <col min="12" max="16384" width="9.140625" style="1"/>
  </cols>
  <sheetData>
    <row r="1" spans="2:11" ht="11.25" customHeight="1"/>
    <row r="2" spans="2:11" s="6" customFormat="1">
      <c r="B2" s="5" t="str">
        <f>'Key Inputs'!B2</f>
        <v>Company Name:</v>
      </c>
      <c r="C2" s="279" t="str">
        <f>'Key Inputs'!C2</f>
        <v>U. S. Steel Corp.</v>
      </c>
      <c r="F2" s="5"/>
      <c r="G2" s="7"/>
      <c r="I2" s="305"/>
      <c r="J2" s="305"/>
      <c r="K2" s="305"/>
    </row>
    <row r="3" spans="2:11" s="6" customFormat="1">
      <c r="B3" s="5" t="str">
        <f>'Key Inputs'!B3</f>
        <v>Site Name:</v>
      </c>
      <c r="C3" s="279" t="str">
        <f>'Key Inputs'!C3</f>
        <v>Edgar Thomson Plant</v>
      </c>
      <c r="F3" s="5"/>
      <c r="G3" s="7"/>
      <c r="I3" s="305"/>
      <c r="J3" s="305"/>
      <c r="K3" s="305"/>
    </row>
    <row r="4" spans="2:11" s="6" customFormat="1">
      <c r="B4" s="5" t="str">
        <f>'Key Inputs'!B4</f>
        <v>Description:</v>
      </c>
      <c r="C4" s="279" t="str">
        <f>'Key Inputs'!C4</f>
        <v>Title V Permit Renewal</v>
      </c>
      <c r="F4" s="5"/>
      <c r="G4" s="7"/>
      <c r="I4" s="305"/>
      <c r="J4" s="305"/>
      <c r="K4" s="305"/>
    </row>
    <row r="5" spans="2:11" s="6" customFormat="1">
      <c r="B5" s="5" t="str">
        <f>'Key Inputs'!B5</f>
        <v>Date:</v>
      </c>
      <c r="C5" s="281" t="str">
        <f>'Key Inputs'!C5</f>
        <v>10/7/2020 - DRAFT</v>
      </c>
      <c r="F5" s="5"/>
      <c r="G5" s="7"/>
      <c r="I5" s="305"/>
      <c r="J5" s="305"/>
      <c r="K5" s="305"/>
    </row>
    <row r="6" spans="2:11" s="6" customFormat="1">
      <c r="B6" s="5"/>
      <c r="C6" s="5"/>
      <c r="D6" s="5"/>
      <c r="F6" s="5"/>
      <c r="G6" s="7"/>
      <c r="I6" s="305"/>
      <c r="J6" s="305"/>
      <c r="K6" s="305"/>
    </row>
    <row r="7" spans="2:11" s="11" customFormat="1">
      <c r="B7" s="10" t="s">
        <v>424</v>
      </c>
      <c r="C7" s="10"/>
      <c r="D7" s="10"/>
      <c r="F7" s="10"/>
      <c r="G7" s="12"/>
      <c r="I7" s="306"/>
      <c r="J7" s="306"/>
      <c r="K7" s="306"/>
    </row>
    <row r="8" spans="2:11" s="16" customFormat="1">
      <c r="B8" s="14"/>
      <c r="C8" s="15"/>
      <c r="G8" s="17"/>
      <c r="I8" s="304"/>
      <c r="J8" s="304"/>
      <c r="K8" s="304"/>
    </row>
    <row r="9" spans="2:11" s="18" customFormat="1">
      <c r="B9" s="19" t="s">
        <v>25</v>
      </c>
      <c r="C9" s="20" t="s">
        <v>425</v>
      </c>
      <c r="D9" s="19"/>
      <c r="G9" s="21"/>
      <c r="I9" s="307"/>
      <c r="J9" s="307"/>
      <c r="K9" s="307"/>
    </row>
    <row r="10" spans="2:11" s="18" customFormat="1">
      <c r="B10" s="19" t="s">
        <v>56</v>
      </c>
      <c r="C10" s="23" t="s">
        <v>296</v>
      </c>
      <c r="D10" s="19"/>
      <c r="G10" s="21"/>
      <c r="I10" s="307"/>
      <c r="J10" s="307"/>
      <c r="K10" s="307"/>
    </row>
    <row r="11" spans="2:11" s="18" customFormat="1">
      <c r="B11" s="19" t="s">
        <v>291</v>
      </c>
      <c r="C11" s="23" t="s">
        <v>16</v>
      </c>
      <c r="D11" s="19"/>
      <c r="G11" s="21"/>
      <c r="I11" s="307"/>
      <c r="J11" s="307"/>
      <c r="K11" s="307"/>
    </row>
    <row r="12" spans="2:11" s="18" customFormat="1">
      <c r="B12" s="19" t="s">
        <v>26</v>
      </c>
      <c r="C12" s="24">
        <f>'Key Inputs'!$G$20</f>
        <v>8760</v>
      </c>
      <c r="D12" s="21" t="s">
        <v>10</v>
      </c>
      <c r="G12" s="20"/>
      <c r="I12" s="307"/>
      <c r="J12" s="307"/>
      <c r="K12" s="307"/>
    </row>
    <row r="13" spans="2:11" s="18" customFormat="1">
      <c r="B13" s="19" t="s">
        <v>14</v>
      </c>
      <c r="C13" s="79" t="s">
        <v>27</v>
      </c>
      <c r="D13" s="21"/>
      <c r="G13" s="20"/>
      <c r="I13" s="307"/>
      <c r="J13" s="307"/>
      <c r="K13" s="307"/>
    </row>
    <row r="14" spans="2:11" s="18" customFormat="1">
      <c r="B14" s="19" t="s">
        <v>252</v>
      </c>
      <c r="C14" s="184">
        <v>275</v>
      </c>
      <c r="D14" s="21" t="s">
        <v>31</v>
      </c>
      <c r="G14" s="20"/>
      <c r="I14" s="307" t="s">
        <v>255</v>
      </c>
      <c r="J14" s="307"/>
      <c r="K14" s="307"/>
    </row>
    <row r="15" spans="2:11" s="18" customFormat="1">
      <c r="B15" s="19" t="s">
        <v>253</v>
      </c>
      <c r="C15" s="184">
        <v>410</v>
      </c>
      <c r="D15" s="21" t="s">
        <v>31</v>
      </c>
      <c r="G15" s="20"/>
      <c r="I15" s="307" t="s">
        <v>255</v>
      </c>
      <c r="J15" s="307"/>
      <c r="K15" s="307"/>
    </row>
    <row r="16" spans="2:11" s="18" customFormat="1">
      <c r="B16" s="19"/>
      <c r="C16" s="184"/>
      <c r="D16" s="21"/>
      <c r="G16" s="20"/>
      <c r="I16" s="307"/>
      <c r="J16" s="307"/>
      <c r="K16" s="307"/>
    </row>
    <row r="17" spans="2:18" s="11" customFormat="1">
      <c r="B17" s="329" t="s">
        <v>251</v>
      </c>
      <c r="C17" s="329"/>
      <c r="D17" s="329"/>
      <c r="E17" s="330"/>
      <c r="F17" s="329"/>
      <c r="G17" s="331"/>
      <c r="I17" s="306"/>
      <c r="J17" s="306"/>
      <c r="K17" s="306"/>
    </row>
    <row r="18" spans="2:18" s="18" customFormat="1" ht="6" customHeight="1" thickBot="1">
      <c r="D18" s="27"/>
      <c r="E18" s="25"/>
      <c r="F18" s="25"/>
      <c r="G18" s="21"/>
      <c r="I18" s="307"/>
      <c r="J18" s="307"/>
      <c r="K18" s="307"/>
    </row>
    <row r="19" spans="2:18" s="18" customFormat="1" ht="6" customHeight="1">
      <c r="B19" s="28"/>
      <c r="C19" s="29"/>
      <c r="D19" s="30"/>
      <c r="E19" s="31"/>
      <c r="F19" s="31"/>
      <c r="G19" s="298"/>
      <c r="I19" s="307"/>
      <c r="J19" s="307"/>
      <c r="K19" s="307"/>
    </row>
    <row r="20" spans="2:18" s="37" customFormat="1" ht="38.25">
      <c r="B20" s="33" t="s">
        <v>32</v>
      </c>
      <c r="C20" s="34" t="s">
        <v>140</v>
      </c>
      <c r="D20" s="34" t="s">
        <v>141</v>
      </c>
      <c r="E20" s="34" t="s">
        <v>139</v>
      </c>
      <c r="F20" s="34" t="s">
        <v>35</v>
      </c>
      <c r="G20" s="35" t="s">
        <v>36</v>
      </c>
      <c r="I20" s="308"/>
      <c r="J20" s="308"/>
      <c r="K20" s="308"/>
    </row>
    <row r="21" spans="2:18" s="18" customFormat="1" ht="6" customHeight="1" thickBot="1">
      <c r="B21" s="38"/>
      <c r="C21" s="39"/>
      <c r="D21" s="40"/>
      <c r="E21" s="41"/>
      <c r="F21" s="41"/>
      <c r="G21" s="299"/>
      <c r="I21" s="307"/>
      <c r="J21" s="307"/>
      <c r="K21" s="307"/>
    </row>
    <row r="22" spans="2:18" s="18" customFormat="1" ht="6" customHeight="1">
      <c r="B22" s="28"/>
      <c r="C22" s="29"/>
      <c r="D22" s="30"/>
      <c r="E22" s="31"/>
      <c r="F22" s="31"/>
      <c r="G22" s="298"/>
      <c r="I22" s="307"/>
      <c r="J22" s="307"/>
      <c r="K22" s="307"/>
    </row>
    <row r="23" spans="2:18" s="16" customFormat="1" ht="12.75" customHeight="1">
      <c r="B23" s="43" t="s">
        <v>37</v>
      </c>
      <c r="C23" s="44"/>
      <c r="D23" s="45"/>
      <c r="E23" s="46"/>
      <c r="F23" s="46"/>
      <c r="G23" s="300"/>
      <c r="H23" s="788" t="s">
        <v>795</v>
      </c>
      <c r="I23" s="789"/>
      <c r="J23" s="789"/>
      <c r="K23" s="789"/>
      <c r="L23" s="789"/>
      <c r="M23" s="789"/>
      <c r="N23" s="789"/>
      <c r="O23" s="789"/>
      <c r="P23" s="789"/>
      <c r="Q23" s="789"/>
      <c r="R23" s="789"/>
    </row>
    <row r="24" spans="2:18" s="16" customFormat="1" ht="12.75" customHeight="1">
      <c r="B24" s="48" t="s">
        <v>228</v>
      </c>
      <c r="C24" s="49">
        <f t="shared" ref="C24:C31" si="0">D24/$C$12*2000</f>
        <v>6.8593036529680365E-2</v>
      </c>
      <c r="D24" s="50">
        <f>E24*$C$14/2000</f>
        <v>0.30043749999999997</v>
      </c>
      <c r="E24" s="321">
        <f>1.9*(1+'Key Inputs'!$G$2)</f>
        <v>2.1849999999999996</v>
      </c>
      <c r="F24" s="52" t="s">
        <v>39</v>
      </c>
      <c r="G24" s="314" t="s">
        <v>142</v>
      </c>
      <c r="H24" s="790"/>
      <c r="I24" s="789"/>
      <c r="J24" s="789"/>
      <c r="K24" s="789"/>
      <c r="L24" s="789"/>
      <c r="M24" s="789"/>
      <c r="N24" s="789"/>
      <c r="O24" s="789"/>
      <c r="P24" s="789"/>
      <c r="Q24" s="789"/>
      <c r="R24" s="789"/>
    </row>
    <row r="25" spans="2:18" s="16" customFormat="1" ht="14.25" customHeight="1">
      <c r="B25" s="48" t="s">
        <v>229</v>
      </c>
      <c r="C25" s="49">
        <f t="shared" si="0"/>
        <v>6.8593036529680365E-2</v>
      </c>
      <c r="D25" s="50">
        <f t="shared" ref="D25:D31" si="1">E25*$C$14/2000</f>
        <v>0.30043749999999997</v>
      </c>
      <c r="E25" s="321">
        <f>1.9*(1+'Key Inputs'!$G$2)</f>
        <v>2.1849999999999996</v>
      </c>
      <c r="F25" s="52" t="s">
        <v>39</v>
      </c>
      <c r="G25" s="314" t="s">
        <v>142</v>
      </c>
      <c r="H25" s="790"/>
      <c r="I25" s="789"/>
      <c r="J25" s="789"/>
      <c r="K25" s="789"/>
      <c r="L25" s="789"/>
      <c r="M25" s="789"/>
      <c r="N25" s="789"/>
      <c r="O25" s="789"/>
      <c r="P25" s="789"/>
      <c r="Q25" s="789"/>
      <c r="R25" s="789"/>
    </row>
    <row r="26" spans="2:18" s="16" customFormat="1" ht="14.25" customHeight="1">
      <c r="B26" s="48" t="s">
        <v>230</v>
      </c>
      <c r="C26" s="49">
        <f t="shared" si="0"/>
        <v>6.8593036529680365E-2</v>
      </c>
      <c r="D26" s="50">
        <f t="shared" si="1"/>
        <v>0.30043749999999997</v>
      </c>
      <c r="E26" s="321">
        <f>1.9*(1+'Key Inputs'!$G$2)</f>
        <v>2.1849999999999996</v>
      </c>
      <c r="F26" s="52" t="s">
        <v>39</v>
      </c>
      <c r="G26" s="314" t="s">
        <v>142</v>
      </c>
      <c r="H26" s="790"/>
      <c r="I26" s="789"/>
      <c r="J26" s="789"/>
      <c r="K26" s="789"/>
      <c r="L26" s="789"/>
      <c r="M26" s="789"/>
      <c r="N26" s="789"/>
      <c r="O26" s="789"/>
      <c r="P26" s="789"/>
      <c r="Q26" s="789"/>
      <c r="R26" s="789"/>
    </row>
    <row r="27" spans="2:18" s="160" customFormat="1" ht="15" customHeight="1">
      <c r="B27" s="48" t="s">
        <v>227</v>
      </c>
      <c r="C27" s="49">
        <f t="shared" si="0"/>
        <v>0.20577910958904108</v>
      </c>
      <c r="D27" s="50">
        <f t="shared" si="1"/>
        <v>0.90131249999999996</v>
      </c>
      <c r="E27" s="321">
        <f>5.7*(1+'Key Inputs'!$G$2)</f>
        <v>6.5549999999999997</v>
      </c>
      <c r="F27" s="52" t="s">
        <v>39</v>
      </c>
      <c r="G27" s="314" t="s">
        <v>260</v>
      </c>
      <c r="I27" s="310"/>
      <c r="J27" s="310"/>
      <c r="K27" s="310"/>
    </row>
    <row r="28" spans="2:18" s="16" customFormat="1" ht="14.25">
      <c r="B28" s="48" t="s">
        <v>148</v>
      </c>
      <c r="C28" s="49">
        <f t="shared" si="0"/>
        <v>3.6101598173515979</v>
      </c>
      <c r="D28" s="50">
        <f t="shared" si="1"/>
        <v>15.812499999999998</v>
      </c>
      <c r="E28" s="322">
        <f>100*(1+'Key Inputs'!$G$2)</f>
        <v>114.99999999999999</v>
      </c>
      <c r="F28" s="52" t="s">
        <v>39</v>
      </c>
      <c r="G28" s="301" t="s">
        <v>129</v>
      </c>
      <c r="I28" s="304"/>
      <c r="J28" s="304"/>
      <c r="K28" s="304"/>
    </row>
    <row r="29" spans="2:18" s="16" customFormat="1">
      <c r="B29" s="48" t="s">
        <v>65</v>
      </c>
      <c r="C29" s="49">
        <f t="shared" si="0"/>
        <v>0.19855878995433784</v>
      </c>
      <c r="D29" s="50">
        <f t="shared" si="1"/>
        <v>0.86968749999999984</v>
      </c>
      <c r="E29" s="321">
        <f>5.5*(1+'Key Inputs'!$G$2)</f>
        <v>6.3249999999999993</v>
      </c>
      <c r="F29" s="52" t="s">
        <v>39</v>
      </c>
      <c r="G29" s="301" t="s">
        <v>126</v>
      </c>
      <c r="I29" s="304"/>
      <c r="J29" s="304"/>
      <c r="K29" s="304"/>
    </row>
    <row r="30" spans="2:18" s="16" customFormat="1" ht="14.25">
      <c r="B30" s="48" t="s">
        <v>149</v>
      </c>
      <c r="C30" s="49">
        <f t="shared" si="0"/>
        <v>2.1660958904109583E-2</v>
      </c>
      <c r="D30" s="50">
        <f t="shared" si="1"/>
        <v>9.4874999999999987E-2</v>
      </c>
      <c r="E30" s="321">
        <f>0.6*(1+'Key Inputs'!$G$2)</f>
        <v>0.69</v>
      </c>
      <c r="F30" s="52" t="s">
        <v>39</v>
      </c>
      <c r="G30" s="301" t="s">
        <v>126</v>
      </c>
      <c r="I30" s="304"/>
      <c r="J30" s="304"/>
      <c r="K30" s="304"/>
    </row>
    <row r="31" spans="2:18" s="16" customFormat="1">
      <c r="B31" s="48" t="s">
        <v>40</v>
      </c>
      <c r="C31" s="49">
        <f t="shared" si="0"/>
        <v>3.0325342465753424</v>
      </c>
      <c r="D31" s="50">
        <f t="shared" si="1"/>
        <v>13.282500000000001</v>
      </c>
      <c r="E31" s="322">
        <f>84*(1+'Key Inputs'!$G$2)</f>
        <v>96.6</v>
      </c>
      <c r="F31" s="52" t="s">
        <v>39</v>
      </c>
      <c r="G31" s="301" t="s">
        <v>129</v>
      </c>
      <c r="I31" s="304"/>
      <c r="J31" s="304"/>
      <c r="K31" s="304"/>
    </row>
    <row r="32" spans="2:18" s="16" customFormat="1" ht="6" customHeight="1">
      <c r="B32" s="48"/>
      <c r="C32" s="53"/>
      <c r="D32" s="54"/>
      <c r="E32" s="55"/>
      <c r="F32" s="46"/>
      <c r="G32" s="300"/>
      <c r="I32" s="304"/>
      <c r="J32" s="304"/>
      <c r="K32" s="304"/>
    </row>
    <row r="33" spans="2:11" s="16" customFormat="1">
      <c r="B33" s="43" t="s">
        <v>41</v>
      </c>
      <c r="C33" s="44"/>
      <c r="D33" s="54"/>
      <c r="E33" s="56"/>
      <c r="F33" s="57"/>
      <c r="G33" s="300"/>
      <c r="I33" s="304"/>
      <c r="J33" s="304"/>
      <c r="K33" s="304"/>
    </row>
    <row r="34" spans="2:11" s="16" customFormat="1">
      <c r="B34" s="58" t="s">
        <v>42</v>
      </c>
      <c r="C34" s="59"/>
      <c r="D34" s="54"/>
      <c r="E34" s="50"/>
      <c r="F34" s="60"/>
      <c r="G34" s="300"/>
      <c r="I34" s="304"/>
      <c r="J34" s="304"/>
      <c r="K34" s="304"/>
    </row>
    <row r="35" spans="2:11" s="16" customFormat="1" hidden="1">
      <c r="B35" s="61" t="s">
        <v>66</v>
      </c>
      <c r="C35" s="62">
        <f t="shared" ref="C35:C58" si="2">D35/$C$12*2000</f>
        <v>8.6643835616438357E-7</v>
      </c>
      <c r="D35" s="63">
        <f>E35*$C$14/2000</f>
        <v>3.7950000000000001E-6</v>
      </c>
      <c r="E35" s="326">
        <f>0.000024*(1+'Key Inputs'!G2)</f>
        <v>2.76E-5</v>
      </c>
      <c r="F35" s="46" t="s">
        <v>39</v>
      </c>
      <c r="G35" s="300" t="s">
        <v>128</v>
      </c>
      <c r="I35" s="304"/>
      <c r="J35" s="304"/>
      <c r="K35" s="304"/>
    </row>
    <row r="36" spans="2:11" s="16" customFormat="1" hidden="1">
      <c r="B36" s="61" t="s">
        <v>67</v>
      </c>
      <c r="C36" s="62">
        <f t="shared" si="2"/>
        <v>6.4982876712328749E-8</v>
      </c>
      <c r="D36" s="63">
        <f t="shared" ref="D36:D58" si="3">E36*$C$14/2000</f>
        <v>2.8462499999999994E-7</v>
      </c>
      <c r="E36" s="326">
        <f>0.0000018*(1+'Key Inputs'!G2)</f>
        <v>2.0699999999999997E-6</v>
      </c>
      <c r="F36" s="46" t="s">
        <v>39</v>
      </c>
      <c r="G36" s="300" t="s">
        <v>128</v>
      </c>
      <c r="I36" s="304"/>
      <c r="J36" s="304"/>
      <c r="K36" s="304"/>
    </row>
    <row r="37" spans="2:11" s="16" customFormat="1" hidden="1">
      <c r="B37" s="61" t="s">
        <v>68</v>
      </c>
      <c r="C37" s="62">
        <f t="shared" si="2"/>
        <v>5.776255707762556E-7</v>
      </c>
      <c r="D37" s="63">
        <f t="shared" si="3"/>
        <v>2.5299999999999995E-6</v>
      </c>
      <c r="E37" s="326">
        <f>0.000016*(1+'Key Inputs'!G2)</f>
        <v>1.8399999999999997E-5</v>
      </c>
      <c r="F37" s="46" t="s">
        <v>39</v>
      </c>
      <c r="G37" s="300" t="s">
        <v>128</v>
      </c>
      <c r="I37" s="304"/>
      <c r="J37" s="304"/>
      <c r="K37" s="304"/>
    </row>
    <row r="38" spans="2:11" s="16" customFormat="1" hidden="1">
      <c r="B38" s="61" t="s">
        <v>108</v>
      </c>
      <c r="C38" s="62">
        <f t="shared" si="2"/>
        <v>6.4982876712328749E-8</v>
      </c>
      <c r="D38" s="63">
        <f t="shared" si="3"/>
        <v>2.8462499999999994E-7</v>
      </c>
      <c r="E38" s="326">
        <f>0.0000018*(1+'Key Inputs'!G2)</f>
        <v>2.0699999999999997E-6</v>
      </c>
      <c r="F38" s="46" t="s">
        <v>39</v>
      </c>
      <c r="G38" s="300" t="s">
        <v>128</v>
      </c>
      <c r="I38" s="304"/>
      <c r="J38" s="304"/>
      <c r="K38" s="304"/>
    </row>
    <row r="39" spans="2:11" s="16" customFormat="1" hidden="1">
      <c r="B39" s="61" t="s">
        <v>109</v>
      </c>
      <c r="C39" s="62">
        <f t="shared" si="2"/>
        <v>6.4982876712328749E-8</v>
      </c>
      <c r="D39" s="63">
        <f t="shared" si="3"/>
        <v>2.8462499999999994E-7</v>
      </c>
      <c r="E39" s="326">
        <f>0.0000018*(1+'Key Inputs'!G2)</f>
        <v>2.0699999999999997E-6</v>
      </c>
      <c r="F39" s="46" t="s">
        <v>39</v>
      </c>
      <c r="G39" s="300" t="s">
        <v>128</v>
      </c>
      <c r="I39" s="304"/>
      <c r="J39" s="304"/>
      <c r="K39" s="304"/>
    </row>
    <row r="40" spans="2:11" s="16" customFormat="1" hidden="1">
      <c r="B40" s="61" t="s">
        <v>69</v>
      </c>
      <c r="C40" s="62">
        <f t="shared" si="2"/>
        <v>8.6643835616438354E-8</v>
      </c>
      <c r="D40" s="63">
        <f t="shared" si="3"/>
        <v>3.7949999999999998E-7</v>
      </c>
      <c r="E40" s="326">
        <f>0.0000024*(1+'Key Inputs'!G2)</f>
        <v>2.7599999999999998E-6</v>
      </c>
      <c r="F40" s="46" t="s">
        <v>39</v>
      </c>
      <c r="G40" s="300" t="s">
        <v>128</v>
      </c>
      <c r="I40" s="304"/>
      <c r="J40" s="304"/>
      <c r="K40" s="304"/>
    </row>
    <row r="41" spans="2:11" s="16" customFormat="1" hidden="1">
      <c r="B41" s="61" t="s">
        <v>70</v>
      </c>
      <c r="C41" s="62">
        <f t="shared" si="2"/>
        <v>6.4982876712328749E-8</v>
      </c>
      <c r="D41" s="63">
        <f t="shared" si="3"/>
        <v>2.8462499999999994E-7</v>
      </c>
      <c r="E41" s="326">
        <f>0.0000018*(1+'Key Inputs'!G2)</f>
        <v>2.0699999999999997E-6</v>
      </c>
      <c r="F41" s="46" t="s">
        <v>39</v>
      </c>
      <c r="G41" s="300" t="s">
        <v>128</v>
      </c>
      <c r="I41" s="304"/>
      <c r="J41" s="304"/>
      <c r="K41" s="304"/>
    </row>
    <row r="42" spans="2:11" s="16" customFormat="1" hidden="1">
      <c r="B42" s="61" t="s">
        <v>43</v>
      </c>
      <c r="C42" s="62">
        <f t="shared" si="2"/>
        <v>7.581335616438355E-5</v>
      </c>
      <c r="D42" s="63">
        <f t="shared" si="3"/>
        <v>3.3206249999999995E-4</v>
      </c>
      <c r="E42" s="326">
        <f>0.0021*(1+'Key Inputs'!G2)</f>
        <v>2.4149999999999996E-3</v>
      </c>
      <c r="F42" s="46" t="s">
        <v>39</v>
      </c>
      <c r="G42" s="300" t="s">
        <v>128</v>
      </c>
      <c r="I42" s="304"/>
      <c r="J42" s="304"/>
      <c r="K42" s="304"/>
    </row>
    <row r="43" spans="2:11" s="16" customFormat="1" hidden="1">
      <c r="B43" s="61" t="s">
        <v>71</v>
      </c>
      <c r="C43" s="62">
        <f t="shared" si="2"/>
        <v>4.3321917808219177E-8</v>
      </c>
      <c r="D43" s="63">
        <f t="shared" si="3"/>
        <v>1.8974999999999999E-7</v>
      </c>
      <c r="E43" s="326">
        <f>0.0000012*(1+'Key Inputs'!G2)</f>
        <v>1.3799999999999999E-6</v>
      </c>
      <c r="F43" s="46" t="s">
        <v>39</v>
      </c>
      <c r="G43" s="300" t="s">
        <v>128</v>
      </c>
      <c r="I43" s="304"/>
      <c r="J43" s="304"/>
      <c r="K43" s="304"/>
    </row>
    <row r="44" spans="2:11" s="16" customFormat="1" hidden="1">
      <c r="B44" s="61" t="s">
        <v>72</v>
      </c>
      <c r="C44" s="62">
        <f t="shared" si="2"/>
        <v>6.4982876712328749E-8</v>
      </c>
      <c r="D44" s="63">
        <f t="shared" si="3"/>
        <v>2.8462499999999994E-7</v>
      </c>
      <c r="E44" s="326">
        <f>0.0000018*(1+'Key Inputs'!G2)</f>
        <v>2.0699999999999997E-6</v>
      </c>
      <c r="F44" s="46" t="s">
        <v>39</v>
      </c>
      <c r="G44" s="300" t="s">
        <v>128</v>
      </c>
      <c r="I44" s="304"/>
      <c r="J44" s="304"/>
      <c r="K44" s="304"/>
    </row>
    <row r="45" spans="2:11" s="16" customFormat="1" hidden="1">
      <c r="B45" s="61" t="s">
        <v>73</v>
      </c>
      <c r="C45" s="62">
        <f t="shared" si="2"/>
        <v>4.3321917808219177E-8</v>
      </c>
      <c r="D45" s="63">
        <f t="shared" si="3"/>
        <v>1.8974999999999999E-7</v>
      </c>
      <c r="E45" s="326">
        <f>0.0000012*(1+'Key Inputs'!G2)</f>
        <v>1.3799999999999999E-6</v>
      </c>
      <c r="F45" s="46" t="s">
        <v>39</v>
      </c>
      <c r="G45" s="300" t="s">
        <v>128</v>
      </c>
      <c r="I45" s="304"/>
      <c r="J45" s="304"/>
      <c r="K45" s="304"/>
    </row>
    <row r="46" spans="2:11" s="16" customFormat="1" hidden="1">
      <c r="B46" s="61" t="s">
        <v>74</v>
      </c>
      <c r="C46" s="62">
        <f t="shared" si="2"/>
        <v>6.4982876712328749E-8</v>
      </c>
      <c r="D46" s="63">
        <f t="shared" si="3"/>
        <v>2.8462499999999994E-7</v>
      </c>
      <c r="E46" s="326">
        <f>0.0000018*(1+'Key Inputs'!G2)</f>
        <v>2.0699999999999997E-6</v>
      </c>
      <c r="F46" s="46" t="s">
        <v>39</v>
      </c>
      <c r="G46" s="300" t="s">
        <v>128</v>
      </c>
      <c r="I46" s="304"/>
      <c r="J46" s="304"/>
      <c r="K46" s="304"/>
    </row>
    <row r="47" spans="2:11" s="16" customFormat="1" hidden="1">
      <c r="B47" s="61" t="s">
        <v>75</v>
      </c>
      <c r="C47" s="62">
        <f t="shared" si="2"/>
        <v>6.4982876712328749E-8</v>
      </c>
      <c r="D47" s="63">
        <f t="shared" si="3"/>
        <v>2.8462499999999994E-7</v>
      </c>
      <c r="E47" s="326">
        <f>0.0000018*(1+'Key Inputs'!G2)</f>
        <v>2.0699999999999997E-6</v>
      </c>
      <c r="F47" s="46" t="s">
        <v>39</v>
      </c>
      <c r="G47" s="300" t="s">
        <v>128</v>
      </c>
      <c r="I47" s="304"/>
      <c r="J47" s="304"/>
      <c r="K47" s="304"/>
    </row>
    <row r="48" spans="2:11" s="16" customFormat="1" hidden="1">
      <c r="B48" s="61" t="s">
        <v>76</v>
      </c>
      <c r="C48" s="62">
        <f t="shared" si="2"/>
        <v>4.3321917808219177E-8</v>
      </c>
      <c r="D48" s="63">
        <f t="shared" si="3"/>
        <v>1.8974999999999999E-7</v>
      </c>
      <c r="E48" s="326">
        <f>0.0000012*(1+'Key Inputs'!G2)</f>
        <v>1.3799999999999999E-6</v>
      </c>
      <c r="F48" s="46" t="s">
        <v>39</v>
      </c>
      <c r="G48" s="300" t="s">
        <v>128</v>
      </c>
      <c r="I48" s="304"/>
      <c r="J48" s="304"/>
      <c r="K48" s="304"/>
    </row>
    <row r="49" spans="2:11" s="16" customFormat="1" hidden="1">
      <c r="B49" s="61" t="s">
        <v>77</v>
      </c>
      <c r="C49" s="62">
        <f t="shared" si="2"/>
        <v>4.3321917808219169E-5</v>
      </c>
      <c r="D49" s="63">
        <f t="shared" si="3"/>
        <v>1.8974999999999998E-4</v>
      </c>
      <c r="E49" s="326">
        <f>0.0012*(1+'Key Inputs'!G2)</f>
        <v>1.3799999999999997E-3</v>
      </c>
      <c r="F49" s="46" t="s">
        <v>39</v>
      </c>
      <c r="G49" s="300" t="s">
        <v>128</v>
      </c>
      <c r="I49" s="304"/>
      <c r="J49" s="304"/>
      <c r="K49" s="304"/>
    </row>
    <row r="50" spans="2:11" s="16" customFormat="1" hidden="1">
      <c r="B50" s="61" t="s">
        <v>78</v>
      </c>
      <c r="C50" s="62">
        <f t="shared" si="2"/>
        <v>1.0830479452054795E-7</v>
      </c>
      <c r="D50" s="63">
        <f t="shared" si="3"/>
        <v>4.7437500000000001E-7</v>
      </c>
      <c r="E50" s="326">
        <f>0.000003*(1+'Key Inputs'!G2)</f>
        <v>3.45E-6</v>
      </c>
      <c r="F50" s="46" t="s">
        <v>39</v>
      </c>
      <c r="G50" s="300" t="s">
        <v>128</v>
      </c>
      <c r="I50" s="304"/>
      <c r="J50" s="304"/>
      <c r="K50" s="304"/>
    </row>
    <row r="51" spans="2:11" s="16" customFormat="1" hidden="1">
      <c r="B51" s="61" t="s">
        <v>79</v>
      </c>
      <c r="C51" s="62">
        <f t="shared" si="2"/>
        <v>1.0108447488584474E-7</v>
      </c>
      <c r="D51" s="63">
        <f t="shared" si="3"/>
        <v>4.4274999999999996E-7</v>
      </c>
      <c r="E51" s="326">
        <f>0.0000028*(1+'Key Inputs'!G2)</f>
        <v>3.2199999999999997E-6</v>
      </c>
      <c r="F51" s="46" t="s">
        <v>39</v>
      </c>
      <c r="G51" s="300" t="s">
        <v>128</v>
      </c>
      <c r="I51" s="304"/>
      <c r="J51" s="304"/>
      <c r="K51" s="304"/>
    </row>
    <row r="52" spans="2:11" s="16" customFormat="1" hidden="1">
      <c r="B52" s="61" t="s">
        <v>106</v>
      </c>
      <c r="C52" s="62">
        <f t="shared" si="2"/>
        <v>2.7076198630136979E-3</v>
      </c>
      <c r="D52" s="63">
        <f t="shared" si="3"/>
        <v>1.1859374999999998E-2</v>
      </c>
      <c r="E52" s="326">
        <f>0.075*(1+'Key Inputs'!G2)</f>
        <v>8.6249999999999993E-2</v>
      </c>
      <c r="F52" s="46" t="s">
        <v>39</v>
      </c>
      <c r="G52" s="300" t="s">
        <v>128</v>
      </c>
      <c r="I52" s="304"/>
      <c r="J52" s="304"/>
      <c r="K52" s="304"/>
    </row>
    <row r="53" spans="2:11" s="16" customFormat="1">
      <c r="B53" s="61" t="s">
        <v>80</v>
      </c>
      <c r="C53" s="62">
        <f t="shared" si="2"/>
        <v>6.4982876712328774E-2</v>
      </c>
      <c r="D53" s="63">
        <f t="shared" si="3"/>
        <v>0.28462500000000002</v>
      </c>
      <c r="E53" s="326">
        <f>1.8*(1+'Key Inputs'!$G$2)</f>
        <v>2.0699999999999998</v>
      </c>
      <c r="F53" s="46" t="s">
        <v>39</v>
      </c>
      <c r="G53" s="300" t="s">
        <v>128</v>
      </c>
      <c r="I53" s="304"/>
      <c r="J53" s="304"/>
      <c r="K53" s="304"/>
    </row>
    <row r="54" spans="2:11" s="16" customFormat="1" hidden="1">
      <c r="B54" s="61" t="s">
        <v>81</v>
      </c>
      <c r="C54" s="62">
        <f t="shared" si="2"/>
        <v>6.4982876712328749E-8</v>
      </c>
      <c r="D54" s="63">
        <f t="shared" si="3"/>
        <v>2.8462499999999994E-7</v>
      </c>
      <c r="E54" s="326">
        <f>0.0000018*(1+'Key Inputs'!G2)</f>
        <v>2.0699999999999997E-6</v>
      </c>
      <c r="F54" s="46" t="s">
        <v>39</v>
      </c>
      <c r="G54" s="300" t="s">
        <v>128</v>
      </c>
      <c r="I54" s="304"/>
      <c r="J54" s="304"/>
      <c r="K54" s="304"/>
    </row>
    <row r="55" spans="2:11" s="16" customFormat="1" hidden="1">
      <c r="B55" s="61" t="s">
        <v>82</v>
      </c>
      <c r="C55" s="62">
        <f t="shared" si="2"/>
        <v>2.2021974885844745E-5</v>
      </c>
      <c r="D55" s="63">
        <f t="shared" si="3"/>
        <v>9.6456249999999976E-5</v>
      </c>
      <c r="E55" s="326">
        <f>0.00061*(1+'Key Inputs'!G2)</f>
        <v>7.0149999999999987E-4</v>
      </c>
      <c r="F55" s="46" t="s">
        <v>39</v>
      </c>
      <c r="G55" s="300" t="s">
        <v>128</v>
      </c>
      <c r="I55" s="304"/>
      <c r="J55" s="304"/>
      <c r="K55" s="304"/>
    </row>
    <row r="56" spans="2:11" s="16" customFormat="1" hidden="1">
      <c r="B56" s="61" t="s">
        <v>83</v>
      </c>
      <c r="C56" s="62">
        <f t="shared" si="2"/>
        <v>6.1372716894977151E-7</v>
      </c>
      <c r="D56" s="63">
        <f t="shared" si="3"/>
        <v>2.6881249999999994E-6</v>
      </c>
      <c r="E56" s="326">
        <f>0.000017*(1+'Key Inputs'!G2)</f>
        <v>1.9549999999999997E-5</v>
      </c>
      <c r="F56" s="46" t="s">
        <v>39</v>
      </c>
      <c r="G56" s="300" t="s">
        <v>128</v>
      </c>
      <c r="I56" s="304"/>
      <c r="J56" s="304"/>
      <c r="K56" s="304"/>
    </row>
    <row r="57" spans="2:11" s="16" customFormat="1" hidden="1">
      <c r="B57" s="61" t="s">
        <v>84</v>
      </c>
      <c r="C57" s="62">
        <f t="shared" si="2"/>
        <v>1.8050799086757991E-7</v>
      </c>
      <c r="D57" s="63">
        <f t="shared" si="3"/>
        <v>7.9062499999999995E-7</v>
      </c>
      <c r="E57" s="326">
        <f>0.000005*(1+'Key Inputs'!G2)</f>
        <v>5.75E-6</v>
      </c>
      <c r="F57" s="46" t="s">
        <v>39</v>
      </c>
      <c r="G57" s="300" t="s">
        <v>128</v>
      </c>
      <c r="I57" s="304"/>
      <c r="J57" s="304"/>
      <c r="K57" s="304"/>
    </row>
    <row r="58" spans="2:11" s="16" customFormat="1" hidden="1">
      <c r="B58" s="61" t="s">
        <v>85</v>
      </c>
      <c r="C58" s="62">
        <f t="shared" si="2"/>
        <v>1.2274543378995432E-4</v>
      </c>
      <c r="D58" s="63">
        <f t="shared" si="3"/>
        <v>5.3762499999999991E-4</v>
      </c>
      <c r="E58" s="326">
        <f>0.0034*(1+'Key Inputs'!G2)</f>
        <v>3.9099999999999994E-3</v>
      </c>
      <c r="F58" s="46" t="s">
        <v>39</v>
      </c>
      <c r="G58" s="300" t="s">
        <v>128</v>
      </c>
      <c r="I58" s="304"/>
      <c r="J58" s="304"/>
      <c r="K58" s="304"/>
    </row>
    <row r="59" spans="2:11" s="16" customFormat="1">
      <c r="B59" s="58"/>
      <c r="C59" s="64"/>
      <c r="D59" s="65"/>
      <c r="E59" s="50"/>
      <c r="F59" s="60"/>
      <c r="G59" s="300"/>
      <c r="I59" s="304"/>
      <c r="J59" s="304"/>
      <c r="K59" s="304"/>
    </row>
    <row r="60" spans="2:11" s="16" customFormat="1">
      <c r="B60" s="58" t="s">
        <v>261</v>
      </c>
      <c r="C60" s="64"/>
      <c r="D60" s="65"/>
      <c r="E60" s="50"/>
      <c r="F60" s="60"/>
      <c r="G60" s="300"/>
      <c r="I60" s="304"/>
      <c r="J60" s="304"/>
      <c r="K60" s="304"/>
    </row>
    <row r="61" spans="2:11" s="16" customFormat="1">
      <c r="B61" s="61" t="s">
        <v>272</v>
      </c>
      <c r="C61" s="49">
        <f t="shared" ref="C61" si="4">D61/$C$12*2000</f>
        <v>0.11552511415525112</v>
      </c>
      <c r="D61" s="89">
        <f t="shared" ref="D61" si="5">E61*$C$14/2000</f>
        <v>0.50599999999999989</v>
      </c>
      <c r="E61" s="328">
        <f>3.2*(1+'Key Inputs'!$G$2)</f>
        <v>3.6799999999999997</v>
      </c>
      <c r="F61" s="60" t="s">
        <v>39</v>
      </c>
      <c r="G61" s="300" t="s">
        <v>273</v>
      </c>
      <c r="I61" s="304"/>
      <c r="J61" s="304"/>
      <c r="K61" s="304"/>
    </row>
    <row r="62" spans="2:11" s="16" customFormat="1">
      <c r="B62" s="58"/>
      <c r="C62" s="64"/>
      <c r="D62" s="65"/>
      <c r="E62" s="50"/>
      <c r="F62" s="60"/>
      <c r="G62" s="300"/>
      <c r="I62" s="304"/>
      <c r="J62" s="304"/>
      <c r="K62" s="304"/>
    </row>
    <row r="63" spans="2:11" s="16" customFormat="1">
      <c r="B63" s="58" t="s">
        <v>86</v>
      </c>
      <c r="C63" s="64"/>
      <c r="D63" s="65"/>
      <c r="E63" s="50"/>
      <c r="F63" s="60"/>
      <c r="G63" s="300"/>
      <c r="I63" s="304"/>
      <c r="J63" s="304"/>
      <c r="K63" s="304"/>
    </row>
    <row r="64" spans="2:11" s="16" customFormat="1" hidden="1">
      <c r="B64" s="61" t="s">
        <v>87</v>
      </c>
      <c r="C64" s="62">
        <f t="shared" ref="C64:C73" si="6">D64/$C$12*2000</f>
        <v>7.2203196347031966E-6</v>
      </c>
      <c r="D64" s="63">
        <f>E64*$C$14/2000</f>
        <v>3.1625000000000003E-5</v>
      </c>
      <c r="E64" s="326">
        <f>0.0002*(1+'Key Inputs'!G2)</f>
        <v>2.2999999999999998E-4</v>
      </c>
      <c r="F64" s="46" t="s">
        <v>39</v>
      </c>
      <c r="G64" s="300" t="s">
        <v>127</v>
      </c>
      <c r="I64" s="304"/>
      <c r="J64" s="304"/>
      <c r="K64" s="304"/>
    </row>
    <row r="65" spans="2:11" s="16" customFormat="1" hidden="1">
      <c r="B65" s="61" t="s">
        <v>88</v>
      </c>
      <c r="C65" s="62">
        <f t="shared" si="6"/>
        <v>1.5884703196347033E-4</v>
      </c>
      <c r="D65" s="63">
        <f t="shared" ref="D65:D73" si="7">E65*$C$14/2000</f>
        <v>6.9575000000000008E-4</v>
      </c>
      <c r="E65" s="326">
        <f>0.0044*(1+'Key Inputs'!G2)</f>
        <v>5.0600000000000003E-3</v>
      </c>
      <c r="F65" s="46" t="s">
        <v>39</v>
      </c>
      <c r="G65" s="300" t="s">
        <v>127</v>
      </c>
      <c r="I65" s="304"/>
      <c r="J65" s="304"/>
      <c r="K65" s="304"/>
    </row>
    <row r="66" spans="2:11" s="16" customFormat="1" hidden="1">
      <c r="B66" s="61" t="s">
        <v>11</v>
      </c>
      <c r="C66" s="62">
        <f t="shared" si="6"/>
        <v>3.9711757990867582E-5</v>
      </c>
      <c r="D66" s="63">
        <f t="shared" si="7"/>
        <v>1.7393750000000002E-4</v>
      </c>
      <c r="E66" s="326">
        <f>0.0011*(1+'Key Inputs'!G2)</f>
        <v>1.2650000000000001E-3</v>
      </c>
      <c r="F66" s="46" t="s">
        <v>39</v>
      </c>
      <c r="G66" s="300" t="s">
        <v>127</v>
      </c>
      <c r="I66" s="304"/>
      <c r="J66" s="304"/>
      <c r="K66" s="304"/>
    </row>
    <row r="67" spans="2:11" s="16" customFormat="1" hidden="1">
      <c r="B67" s="61" t="s">
        <v>89</v>
      </c>
      <c r="C67" s="62">
        <f t="shared" si="6"/>
        <v>5.0542237442922371E-5</v>
      </c>
      <c r="D67" s="63">
        <f t="shared" si="7"/>
        <v>2.21375E-4</v>
      </c>
      <c r="E67" s="326">
        <f>0.0014*(1+'Key Inputs'!G2)</f>
        <v>1.6099999999999999E-3</v>
      </c>
      <c r="F67" s="46" t="s">
        <v>39</v>
      </c>
      <c r="G67" s="300" t="s">
        <v>127</v>
      </c>
      <c r="I67" s="304"/>
      <c r="J67" s="304"/>
      <c r="K67" s="304"/>
    </row>
    <row r="68" spans="2:11" s="16" customFormat="1" hidden="1">
      <c r="B68" s="61" t="s">
        <v>90</v>
      </c>
      <c r="C68" s="62">
        <f t="shared" si="6"/>
        <v>3.0325342465753422E-6</v>
      </c>
      <c r="D68" s="63">
        <f t="shared" si="7"/>
        <v>1.3282499999999999E-5</v>
      </c>
      <c r="E68" s="326">
        <f>0.000084*(1+'Key Inputs'!G2)</f>
        <v>9.659999999999999E-5</v>
      </c>
      <c r="F68" s="46" t="s">
        <v>39</v>
      </c>
      <c r="G68" s="300" t="s">
        <v>127</v>
      </c>
      <c r="I68" s="304"/>
      <c r="J68" s="304"/>
      <c r="K68" s="304"/>
    </row>
    <row r="69" spans="2:11" s="16" customFormat="1">
      <c r="B69" s="61" t="s">
        <v>91</v>
      </c>
      <c r="C69" s="62">
        <f t="shared" si="6"/>
        <v>1.8050799086757987E-5</v>
      </c>
      <c r="D69" s="63">
        <f t="shared" si="7"/>
        <v>7.9062499999999991E-5</v>
      </c>
      <c r="E69" s="326">
        <f>0.0005*(1+'Key Inputs'!$G$2)</f>
        <v>5.7499999999999999E-4</v>
      </c>
      <c r="F69" s="46" t="s">
        <v>39</v>
      </c>
      <c r="G69" s="300" t="s">
        <v>126</v>
      </c>
      <c r="I69" s="304"/>
      <c r="J69" s="304"/>
      <c r="K69" s="304"/>
    </row>
    <row r="70" spans="2:11" s="16" customFormat="1" hidden="1">
      <c r="B70" s="61" t="s">
        <v>7</v>
      </c>
      <c r="C70" s="62">
        <f t="shared" si="6"/>
        <v>1.3718607305936075E-5</v>
      </c>
      <c r="D70" s="63">
        <f t="shared" si="7"/>
        <v>6.0087500000000004E-5</v>
      </c>
      <c r="E70" s="326">
        <f>0.00038*(1+'Key Inputs'!G2)</f>
        <v>4.37E-4</v>
      </c>
      <c r="F70" s="46" t="s">
        <v>39</v>
      </c>
      <c r="G70" s="300" t="s">
        <v>127</v>
      </c>
      <c r="I70" s="304"/>
      <c r="J70" s="304"/>
      <c r="K70" s="304"/>
    </row>
    <row r="71" spans="2:11" s="16" customFormat="1">
      <c r="B71" s="61" t="s">
        <v>92</v>
      </c>
      <c r="C71" s="62">
        <f t="shared" si="6"/>
        <v>9.3864155251141554E-6</v>
      </c>
      <c r="D71" s="63">
        <f t="shared" si="7"/>
        <v>4.1112499999999996E-5</v>
      </c>
      <c r="E71" s="326">
        <f>0.00026*(1+'Key Inputs'!$G$2)</f>
        <v>2.9899999999999995E-4</v>
      </c>
      <c r="F71" s="46" t="s">
        <v>39</v>
      </c>
      <c r="G71" s="300" t="s">
        <v>127</v>
      </c>
      <c r="I71" s="304"/>
      <c r="J71" s="304"/>
      <c r="K71" s="304"/>
    </row>
    <row r="72" spans="2:11" s="16" customFormat="1" hidden="1">
      <c r="B72" s="66" t="s">
        <v>12</v>
      </c>
      <c r="C72" s="62">
        <f t="shared" si="6"/>
        <v>7.581335616438355E-5</v>
      </c>
      <c r="D72" s="63">
        <f t="shared" si="7"/>
        <v>3.3206249999999995E-4</v>
      </c>
      <c r="E72" s="327">
        <f>0.0021*(1+'Key Inputs'!G2)</f>
        <v>2.4149999999999996E-3</v>
      </c>
      <c r="F72" s="46" t="s">
        <v>39</v>
      </c>
      <c r="G72" s="300" t="s">
        <v>127</v>
      </c>
      <c r="I72" s="304"/>
      <c r="J72" s="304"/>
      <c r="K72" s="304"/>
    </row>
    <row r="73" spans="2:11" s="16" customFormat="1" hidden="1">
      <c r="B73" s="66" t="s">
        <v>93</v>
      </c>
      <c r="C73" s="62">
        <f t="shared" si="6"/>
        <v>8.6643835616438357E-7</v>
      </c>
      <c r="D73" s="63">
        <f t="shared" si="7"/>
        <v>3.7950000000000001E-6</v>
      </c>
      <c r="E73" s="327">
        <f>0.000024*(1+'Key Inputs'!G2)</f>
        <v>2.76E-5</v>
      </c>
      <c r="F73" s="46" t="s">
        <v>39</v>
      </c>
      <c r="G73" s="300" t="s">
        <v>127</v>
      </c>
      <c r="I73" s="304"/>
      <c r="J73" s="304"/>
      <c r="K73" s="304"/>
    </row>
    <row r="74" spans="2:11" s="16" customFormat="1">
      <c r="B74" s="66"/>
      <c r="C74" s="67"/>
      <c r="D74" s="68"/>
      <c r="E74" s="69"/>
      <c r="F74" s="46"/>
      <c r="G74" s="300"/>
      <c r="I74" s="304"/>
      <c r="J74" s="304"/>
      <c r="K74" s="304"/>
    </row>
    <row r="75" spans="2:11" s="16" customFormat="1">
      <c r="B75" s="43" t="s">
        <v>44</v>
      </c>
      <c r="C75" s="44"/>
      <c r="D75" s="68"/>
      <c r="E75" s="69"/>
      <c r="F75" s="46"/>
      <c r="G75" s="300"/>
      <c r="I75" s="304"/>
      <c r="J75" s="304"/>
      <c r="K75" s="304"/>
    </row>
    <row r="76" spans="2:11" s="16" customFormat="1" ht="14.25">
      <c r="B76" s="70" t="s">
        <v>150</v>
      </c>
      <c r="C76" s="71">
        <f>D76/$C$12*2000</f>
        <v>3888.8935268175901</v>
      </c>
      <c r="D76" s="72">
        <f>E76*'Key Inputs'!$D$43*$C$14/2000</f>
        <v>17033.353647461045</v>
      </c>
      <c r="E76" s="323">
        <f>CONVERT(53.06,"kg","lbm")</f>
        <v>116.97727631529604</v>
      </c>
      <c r="F76" s="52" t="s">
        <v>45</v>
      </c>
      <c r="G76" s="314" t="s">
        <v>256</v>
      </c>
      <c r="I76" s="304"/>
      <c r="J76" s="304"/>
      <c r="K76" s="304"/>
    </row>
    <row r="77" spans="2:11" s="16" customFormat="1" ht="14.25">
      <c r="B77" s="70" t="s">
        <v>151</v>
      </c>
      <c r="C77" s="49">
        <f>D77/$C$12*2000</f>
        <v>7.3292377060263675E-2</v>
      </c>
      <c r="D77" s="72">
        <f>E77*'Key Inputs'!$D$43*$C$14/2000</f>
        <v>0.32102061152395489</v>
      </c>
      <c r="E77" s="324">
        <f>CONVERT(0.001,"kg","lbm")</f>
        <v>2.2046226218487759E-3</v>
      </c>
      <c r="F77" s="52" t="s">
        <v>45</v>
      </c>
      <c r="G77" s="314" t="s">
        <v>94</v>
      </c>
      <c r="I77" s="304"/>
      <c r="J77" s="304"/>
      <c r="K77" s="304"/>
    </row>
    <row r="78" spans="2:11" s="16" customFormat="1" ht="14.25">
      <c r="B78" s="70" t="s">
        <v>152</v>
      </c>
      <c r="C78" s="49">
        <f>D78/$C$12*2000</f>
        <v>7.3292377060263664E-3</v>
      </c>
      <c r="D78" s="72">
        <f>E78*'Key Inputs'!$D$43*$C$14/2000</f>
        <v>3.2102061152395486E-2</v>
      </c>
      <c r="E78" s="325">
        <f>CONVERT(0.0001,"kg","lbm")</f>
        <v>2.2046226218487756E-4</v>
      </c>
      <c r="F78" s="52" t="s">
        <v>45</v>
      </c>
      <c r="G78" s="314" t="s">
        <v>94</v>
      </c>
      <c r="I78" s="304"/>
      <c r="J78" s="304"/>
      <c r="K78" s="304"/>
    </row>
    <row r="79" spans="2:11" s="16" customFormat="1" ht="14.25">
      <c r="B79" s="70" t="s">
        <v>153</v>
      </c>
      <c r="C79" s="71">
        <f>D79/$C$12*2000</f>
        <v>3892.9099490804924</v>
      </c>
      <c r="D79" s="73">
        <f>D76*'Key Inputs'!$C$62+D77*'Key Inputs'!$C$63+D78*'Key Inputs'!$C$64</f>
        <v>17050.945576972557</v>
      </c>
      <c r="E79" s="74" t="s">
        <v>46</v>
      </c>
      <c r="F79" s="75" t="s">
        <v>46</v>
      </c>
      <c r="G79" s="300" t="s">
        <v>47</v>
      </c>
      <c r="I79" s="304"/>
      <c r="J79" s="304"/>
      <c r="K79" s="304"/>
    </row>
    <row r="80" spans="2:11" s="18" customFormat="1" ht="6" customHeight="1" thickBot="1">
      <c r="B80" s="38"/>
      <c r="C80" s="76"/>
      <c r="D80" s="77"/>
      <c r="E80" s="78"/>
      <c r="F80" s="78"/>
      <c r="G80" s="299"/>
      <c r="I80" s="307"/>
      <c r="J80" s="307"/>
      <c r="K80" s="307"/>
    </row>
    <row r="81" spans="2:11" s="18" customFormat="1" ht="6" customHeight="1">
      <c r="D81" s="27"/>
      <c r="E81" s="25"/>
      <c r="F81" s="25"/>
      <c r="G81" s="21"/>
      <c r="I81" s="307"/>
      <c r="J81" s="307"/>
      <c r="K81" s="307"/>
    </row>
    <row r="82" spans="2:11" s="11" customFormat="1">
      <c r="B82" s="316" t="s">
        <v>259</v>
      </c>
      <c r="C82" s="316"/>
      <c r="D82" s="316"/>
      <c r="E82" s="317"/>
      <c r="F82" s="316"/>
      <c r="G82" s="318"/>
      <c r="I82" s="306"/>
      <c r="J82" s="306"/>
      <c r="K82" s="306"/>
    </row>
    <row r="83" spans="2:11" s="18" customFormat="1" ht="6" customHeight="1" thickBot="1">
      <c r="D83" s="27"/>
      <c r="E83" s="25"/>
      <c r="F83" s="25"/>
      <c r="G83" s="21"/>
      <c r="I83" s="307"/>
      <c r="J83" s="307"/>
      <c r="K83" s="307"/>
    </row>
    <row r="84" spans="2:11" s="18" customFormat="1" ht="6" customHeight="1">
      <c r="B84" s="28"/>
      <c r="C84" s="29"/>
      <c r="D84" s="30"/>
      <c r="E84" s="31"/>
      <c r="F84" s="31"/>
      <c r="G84" s="298"/>
      <c r="I84" s="307"/>
      <c r="J84" s="307"/>
      <c r="K84" s="307"/>
    </row>
    <row r="85" spans="2:11" s="37" customFormat="1" ht="38.25">
      <c r="B85" s="33" t="s">
        <v>32</v>
      </c>
      <c r="C85" s="34" t="s">
        <v>140</v>
      </c>
      <c r="D85" s="34" t="s">
        <v>141</v>
      </c>
      <c r="E85" s="34" t="s">
        <v>139</v>
      </c>
      <c r="F85" s="34" t="s">
        <v>35</v>
      </c>
      <c r="G85" s="35" t="s">
        <v>36</v>
      </c>
      <c r="I85" s="308"/>
      <c r="J85" s="308"/>
      <c r="K85" s="308"/>
    </row>
    <row r="86" spans="2:11" s="18" customFormat="1" ht="6" customHeight="1" thickBot="1">
      <c r="B86" s="38"/>
      <c r="C86" s="39"/>
      <c r="D86" s="40"/>
      <c r="E86" s="41"/>
      <c r="F86" s="41"/>
      <c r="G86" s="299"/>
      <c r="I86" s="307"/>
      <c r="J86" s="307"/>
      <c r="K86" s="307"/>
    </row>
    <row r="87" spans="2:11" s="18" customFormat="1" ht="6" customHeight="1">
      <c r="B87" s="28"/>
      <c r="C87" s="29"/>
      <c r="D87" s="30"/>
      <c r="E87" s="31"/>
      <c r="F87" s="31"/>
      <c r="G87" s="298"/>
      <c r="I87" s="307"/>
      <c r="J87" s="307"/>
      <c r="K87" s="307"/>
    </row>
    <row r="88" spans="2:11" s="16" customFormat="1">
      <c r="B88" s="43" t="s">
        <v>37</v>
      </c>
      <c r="C88" s="44"/>
      <c r="D88" s="45"/>
      <c r="E88" s="46"/>
      <c r="F88" s="46"/>
      <c r="G88" s="300"/>
      <c r="I88" s="304"/>
      <c r="J88" s="304"/>
      <c r="K88" s="304"/>
    </row>
    <row r="89" spans="2:11" s="16" customFormat="1">
      <c r="B89" s="48" t="s">
        <v>228</v>
      </c>
      <c r="C89" s="49">
        <f t="shared" ref="C89:C96" si="8">D89/$C$12*2000</f>
        <v>0.3337100456621005</v>
      </c>
      <c r="D89" s="50">
        <f>E89*$C$15/2000</f>
        <v>1.4616500000000001</v>
      </c>
      <c r="E89" s="321">
        <f>6.2*(1+'Key Inputs'!$G$2)</f>
        <v>7.13</v>
      </c>
      <c r="F89" s="52" t="s">
        <v>39</v>
      </c>
      <c r="G89" s="314" t="s">
        <v>264</v>
      </c>
      <c r="I89" s="304"/>
      <c r="J89" s="304"/>
      <c r="K89" s="304"/>
    </row>
    <row r="90" spans="2:11" s="16" customFormat="1" ht="14.25">
      <c r="B90" s="48" t="s">
        <v>229</v>
      </c>
      <c r="C90" s="49">
        <f t="shared" si="8"/>
        <v>0.2341352739726027</v>
      </c>
      <c r="D90" s="50">
        <f t="shared" ref="D90:D96" si="9">E90*$C$15/2000</f>
        <v>1.0255124999999998</v>
      </c>
      <c r="E90" s="321">
        <f>4.35*(1+'Key Inputs'!$G$2)</f>
        <v>5.0024999999999995</v>
      </c>
      <c r="F90" s="52" t="s">
        <v>39</v>
      </c>
      <c r="G90" s="314" t="s">
        <v>264</v>
      </c>
      <c r="I90" s="304"/>
      <c r="J90" s="304"/>
      <c r="K90" s="304"/>
    </row>
    <row r="91" spans="2:11" s="16" customFormat="1" ht="14.25">
      <c r="B91" s="48" t="s">
        <v>230</v>
      </c>
      <c r="C91" s="49">
        <f t="shared" si="8"/>
        <v>0.17331392694063927</v>
      </c>
      <c r="D91" s="50">
        <f t="shared" si="9"/>
        <v>0.75911499999999998</v>
      </c>
      <c r="E91" s="321">
        <f>3.22*(1+'Key Inputs'!$G$2)</f>
        <v>3.7029999999999998</v>
      </c>
      <c r="F91" s="52" t="s">
        <v>39</v>
      </c>
      <c r="G91" s="314" t="s">
        <v>264</v>
      </c>
      <c r="I91" s="304"/>
      <c r="J91" s="304"/>
      <c r="K91" s="304"/>
    </row>
    <row r="92" spans="2:11" s="160" customFormat="1" ht="15" customHeight="1">
      <c r="B92" s="48" t="s">
        <v>227</v>
      </c>
      <c r="C92" s="49">
        <f t="shared" si="8"/>
        <v>0.17492865296803653</v>
      </c>
      <c r="D92" s="50">
        <f t="shared" si="9"/>
        <v>0.76618750000000002</v>
      </c>
      <c r="E92" s="321">
        <f>3.25*(1+'Key Inputs'!$G$2)</f>
        <v>3.7374999999999998</v>
      </c>
      <c r="F92" s="52" t="s">
        <v>39</v>
      </c>
      <c r="G92" s="314" t="s">
        <v>265</v>
      </c>
      <c r="I92" s="310"/>
      <c r="J92" s="310"/>
      <c r="K92" s="310"/>
    </row>
    <row r="93" spans="2:11" s="16" customFormat="1" ht="14.25">
      <c r="B93" s="48" t="s">
        <v>148</v>
      </c>
      <c r="C93" s="49">
        <f t="shared" si="8"/>
        <v>4.3059360730593603</v>
      </c>
      <c r="D93" s="50">
        <f t="shared" si="9"/>
        <v>18.86</v>
      </c>
      <c r="E93" s="322">
        <f>80*(1+'Key Inputs'!$G$2)</f>
        <v>92</v>
      </c>
      <c r="F93" s="52" t="s">
        <v>39</v>
      </c>
      <c r="G93" s="314" t="s">
        <v>264</v>
      </c>
      <c r="I93" s="304"/>
      <c r="J93" s="304"/>
      <c r="K93" s="304"/>
    </row>
    <row r="94" spans="2:11" s="16" customFormat="1">
      <c r="B94" s="48" t="s">
        <v>65</v>
      </c>
      <c r="C94" s="49">
        <f t="shared" si="8"/>
        <v>6.4589041095890407E-2</v>
      </c>
      <c r="D94" s="50">
        <f t="shared" si="9"/>
        <v>0.28289999999999998</v>
      </c>
      <c r="E94" s="321">
        <f>1.2*(1+'Key Inputs'!$G$2)</f>
        <v>1.38</v>
      </c>
      <c r="F94" s="52" t="s">
        <v>39</v>
      </c>
      <c r="G94" s="314" t="s">
        <v>264</v>
      </c>
      <c r="I94" s="304"/>
      <c r="J94" s="304"/>
      <c r="K94" s="304"/>
    </row>
    <row r="95" spans="2:11" s="16" customFormat="1" ht="14.25">
      <c r="B95" s="48" t="s">
        <v>149</v>
      </c>
      <c r="C95" s="49">
        <f t="shared" si="8"/>
        <v>4.4050496955143696</v>
      </c>
      <c r="D95" s="50">
        <f t="shared" si="9"/>
        <v>19.294117666352939</v>
      </c>
      <c r="E95" s="51">
        <f>(35*0.000142857143)*10000*(64/34)</f>
        <v>94.117647152941174</v>
      </c>
      <c r="F95" s="52" t="s">
        <v>39</v>
      </c>
      <c r="G95" s="301" t="s">
        <v>271</v>
      </c>
      <c r="I95" s="304"/>
      <c r="J95" s="304"/>
      <c r="K95" s="304"/>
    </row>
    <row r="96" spans="2:11" s="16" customFormat="1">
      <c r="B96" s="48" t="s">
        <v>40</v>
      </c>
      <c r="C96" s="49">
        <f t="shared" si="8"/>
        <v>0.99036529680365282</v>
      </c>
      <c r="D96" s="50">
        <f t="shared" si="9"/>
        <v>4.3377999999999997</v>
      </c>
      <c r="E96" s="321">
        <f>18.4*(1+'Key Inputs'!$G$2)</f>
        <v>21.159999999999997</v>
      </c>
      <c r="F96" s="52" t="s">
        <v>39</v>
      </c>
      <c r="G96" s="314" t="s">
        <v>264</v>
      </c>
      <c r="I96" s="304"/>
      <c r="J96" s="304"/>
      <c r="K96" s="304"/>
    </row>
    <row r="97" spans="2:11" s="16" customFormat="1" ht="6" customHeight="1">
      <c r="B97" s="48"/>
      <c r="C97" s="53"/>
      <c r="D97" s="54"/>
      <c r="E97" s="55"/>
      <c r="F97" s="46"/>
      <c r="G97" s="300"/>
      <c r="I97" s="304"/>
      <c r="J97" s="304"/>
      <c r="K97" s="304"/>
    </row>
    <row r="98" spans="2:11" s="16" customFormat="1">
      <c r="B98" s="43" t="s">
        <v>41</v>
      </c>
      <c r="C98" s="44"/>
      <c r="D98" s="54"/>
      <c r="E98" s="56"/>
      <c r="F98" s="57"/>
      <c r="G98" s="300"/>
      <c r="I98" s="304"/>
      <c r="J98" s="304"/>
      <c r="K98" s="304"/>
    </row>
    <row r="99" spans="2:11" s="16" customFormat="1">
      <c r="B99" s="58" t="s">
        <v>42</v>
      </c>
      <c r="C99" s="59"/>
      <c r="D99" s="54"/>
      <c r="E99" s="50"/>
      <c r="F99" s="60"/>
      <c r="G99" s="300"/>
      <c r="I99" s="304"/>
      <c r="J99" s="304"/>
      <c r="K99" s="304"/>
    </row>
    <row r="100" spans="2:11" s="16" customFormat="1">
      <c r="B100" s="61" t="s">
        <v>43</v>
      </c>
      <c r="C100" s="62">
        <f t="shared" ref="C100:C106" si="10">D100/$C$12*2000</f>
        <v>1.2271917808219176E-3</v>
      </c>
      <c r="D100" s="63">
        <f>E100*$C$15/2000</f>
        <v>5.3750999999999998E-3</v>
      </c>
      <c r="E100" s="326">
        <f>1.9%*E94</f>
        <v>2.6219999999999997E-2</v>
      </c>
      <c r="F100" s="46" t="s">
        <v>39</v>
      </c>
      <c r="G100" s="300" t="s">
        <v>266</v>
      </c>
      <c r="I100" s="304"/>
      <c r="J100" s="304"/>
      <c r="K100" s="304"/>
    </row>
    <row r="101" spans="2:11" s="16" customFormat="1">
      <c r="B101" s="61"/>
      <c r="C101" s="62"/>
      <c r="D101" s="63"/>
      <c r="E101" s="63"/>
      <c r="F101" s="46"/>
      <c r="G101" s="300"/>
      <c r="I101" s="304"/>
      <c r="J101" s="304"/>
      <c r="K101" s="304"/>
    </row>
    <row r="102" spans="2:11" s="16" customFormat="1">
      <c r="B102" s="58" t="s">
        <v>261</v>
      </c>
      <c r="C102" s="62"/>
      <c r="D102" s="63"/>
      <c r="E102" s="63"/>
      <c r="F102" s="46"/>
      <c r="G102" s="300"/>
      <c r="I102" s="304"/>
      <c r="J102" s="304"/>
      <c r="K102" s="304"/>
    </row>
    <row r="103" spans="2:11" s="16" customFormat="1">
      <c r="B103" s="61" t="s">
        <v>267</v>
      </c>
      <c r="C103" s="49">
        <f t="shared" ref="C103" si="11">D103/$C$12*2000</f>
        <v>0.21342465753424658</v>
      </c>
      <c r="D103" s="89">
        <f>E103*$C$15/2000</f>
        <v>0.93479999999999996</v>
      </c>
      <c r="E103" s="89">
        <v>4.5599999999999996</v>
      </c>
      <c r="F103" s="46" t="s">
        <v>39</v>
      </c>
      <c r="G103" s="300" t="s">
        <v>270</v>
      </c>
      <c r="I103" s="304"/>
      <c r="J103" s="304"/>
      <c r="K103" s="304"/>
    </row>
    <row r="104" spans="2:11" s="16" customFormat="1" ht="14.25">
      <c r="B104" s="61" t="s">
        <v>268</v>
      </c>
      <c r="C104" s="62">
        <f t="shared" si="10"/>
        <v>1.5445205479452054E-3</v>
      </c>
      <c r="D104" s="63">
        <f>E104*$C$15/2000</f>
        <v>6.7650000000000002E-3</v>
      </c>
      <c r="E104" s="63">
        <v>3.3000000000000002E-2</v>
      </c>
      <c r="F104" s="46" t="s">
        <v>39</v>
      </c>
      <c r="G104" s="300" t="s">
        <v>270</v>
      </c>
      <c r="I104" s="304"/>
      <c r="J104" s="304"/>
      <c r="K104" s="304"/>
    </row>
    <row r="105" spans="2:11" s="16" customFormat="1">
      <c r="B105" s="61" t="s">
        <v>262</v>
      </c>
      <c r="C105" s="62">
        <f t="shared" si="10"/>
        <v>3.0422374429223747E-3</v>
      </c>
      <c r="D105" s="63">
        <f t="shared" ref="D105:D106" si="12">E105*$C$15/2000</f>
        <v>1.3325000000000002E-2</v>
      </c>
      <c r="E105" s="63">
        <v>6.5000000000000002E-2</v>
      </c>
      <c r="F105" s="46" t="s">
        <v>39</v>
      </c>
      <c r="G105" s="300" t="s">
        <v>270</v>
      </c>
      <c r="I105" s="304"/>
      <c r="J105" s="304"/>
      <c r="K105" s="304"/>
    </row>
    <row r="106" spans="2:11" s="16" customFormat="1" ht="14.25">
      <c r="B106" s="61" t="s">
        <v>269</v>
      </c>
      <c r="C106" s="62">
        <f t="shared" si="10"/>
        <v>7.2545662100456619E-3</v>
      </c>
      <c r="D106" s="63">
        <f t="shared" si="12"/>
        <v>3.1774999999999998E-2</v>
      </c>
      <c r="E106" s="63">
        <v>0.155</v>
      </c>
      <c r="F106" s="46" t="s">
        <v>39</v>
      </c>
      <c r="G106" s="300" t="s">
        <v>270</v>
      </c>
      <c r="I106" s="304"/>
      <c r="J106" s="304"/>
      <c r="K106" s="304"/>
    </row>
    <row r="107" spans="2:11" s="16" customFormat="1">
      <c r="B107" s="58"/>
      <c r="C107" s="64"/>
      <c r="D107" s="65"/>
      <c r="E107" s="50"/>
      <c r="F107" s="60"/>
      <c r="G107" s="300"/>
      <c r="I107" s="304"/>
      <c r="J107" s="304"/>
      <c r="K107" s="304"/>
    </row>
    <row r="108" spans="2:11" s="16" customFormat="1">
      <c r="B108" s="43" t="s">
        <v>44</v>
      </c>
      <c r="C108" s="44"/>
      <c r="D108" s="68"/>
      <c r="E108" s="69"/>
      <c r="F108" s="46"/>
      <c r="G108" s="300"/>
      <c r="I108" s="304"/>
      <c r="J108" s="304"/>
      <c r="K108" s="304"/>
    </row>
    <row r="109" spans="2:11" s="16" customFormat="1" ht="14.25">
      <c r="B109" s="70" t="s">
        <v>150</v>
      </c>
      <c r="C109" s="71">
        <f>D109/$C$12*2000</f>
        <v>2495.891662338945</v>
      </c>
      <c r="D109" s="72">
        <f>E109*'Key Inputs'!$D$45*$C$15/2000</f>
        <v>10932.005481044578</v>
      </c>
      <c r="E109" s="323">
        <f>CONVERT(46.85,"kg","lbm")</f>
        <v>103.28656983361515</v>
      </c>
      <c r="F109" s="52" t="s">
        <v>45</v>
      </c>
      <c r="G109" s="314" t="s">
        <v>280</v>
      </c>
      <c r="I109" s="304"/>
      <c r="J109" s="304"/>
      <c r="K109" s="304"/>
    </row>
    <row r="110" spans="2:11" s="16" customFormat="1" ht="14.25">
      <c r="B110" s="70" t="s">
        <v>151</v>
      </c>
      <c r="C110" s="49">
        <f>D110/$C$12*2000</f>
        <v>2.5571568792373392E-2</v>
      </c>
      <c r="D110" s="72">
        <f>E110*'Key Inputs'!$D$45*$C$15/2000</f>
        <v>0.11200347131059546</v>
      </c>
      <c r="E110" s="324">
        <f>CONVERT(0.00048,"kg","lbm")</f>
        <v>1.0582188584874123E-3</v>
      </c>
      <c r="F110" s="52" t="s">
        <v>45</v>
      </c>
      <c r="G110" s="314" t="s">
        <v>281</v>
      </c>
      <c r="I110" s="304"/>
      <c r="J110" s="304"/>
      <c r="K110" s="304"/>
    </row>
    <row r="111" spans="2:11" s="16" customFormat="1" ht="14.25">
      <c r="B111" s="70" t="s">
        <v>152</v>
      </c>
      <c r="C111" s="49">
        <f>D111/$C$12*2000</f>
        <v>5.3274101650777885E-3</v>
      </c>
      <c r="D111" s="72">
        <f>E111*'Key Inputs'!$D$45*$C$15/2000</f>
        <v>2.3334056523040714E-2</v>
      </c>
      <c r="E111" s="325">
        <f>CONVERT(0.0001,"kg","lbm")</f>
        <v>2.2046226218487756E-4</v>
      </c>
      <c r="F111" s="52" t="s">
        <v>45</v>
      </c>
      <c r="G111" s="314" t="s">
        <v>281</v>
      </c>
      <c r="I111" s="304"/>
      <c r="J111" s="304"/>
      <c r="K111" s="304"/>
    </row>
    <row r="112" spans="2:11" s="16" customFormat="1" ht="14.25">
      <c r="B112" s="70" t="s">
        <v>153</v>
      </c>
      <c r="C112" s="71">
        <f>D112/$C$12*2000</f>
        <v>2498.1185197879477</v>
      </c>
      <c r="D112" s="73">
        <f>D109*'Key Inputs'!$C$62+D110*'Key Inputs'!$C$63+D111*'Key Inputs'!$C$64</f>
        <v>10941.75911667121</v>
      </c>
      <c r="E112" s="74" t="s">
        <v>46</v>
      </c>
      <c r="F112" s="75" t="s">
        <v>46</v>
      </c>
      <c r="G112" s="300" t="s">
        <v>47</v>
      </c>
      <c r="I112" s="304"/>
      <c r="J112" s="304"/>
      <c r="K112" s="304"/>
    </row>
    <row r="113" spans="2:11" s="18" customFormat="1" ht="6" customHeight="1" thickBot="1">
      <c r="B113" s="38"/>
      <c r="C113" s="76"/>
      <c r="D113" s="77"/>
      <c r="E113" s="78"/>
      <c r="F113" s="78"/>
      <c r="G113" s="299"/>
      <c r="I113" s="307"/>
      <c r="J113" s="307"/>
      <c r="K113" s="307"/>
    </row>
  </sheetData>
  <mergeCells count="1">
    <mergeCell ref="H23:R26"/>
  </mergeCells>
  <pageMargins left="0.2" right="0.2" top="0.25" bottom="0.25" header="0.05" footer="0.05"/>
  <pageSetup scale="65" orientation="portrait" horizontalDpi="1200" verticalDpi="1200" r:id="rId1"/>
  <rowBreaks count="1" manualBreakCount="1">
    <brk id="81" max="6"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K41"/>
  <sheetViews>
    <sheetView zoomScaleNormal="100" zoomScaleSheetLayoutView="100" workbookViewId="0">
      <selection activeCell="E26" sqref="E26"/>
    </sheetView>
  </sheetViews>
  <sheetFormatPr defaultColWidth="9.140625" defaultRowHeight="12.75"/>
  <cols>
    <col min="1" max="1" width="2.42578125" style="90" customWidth="1"/>
    <col min="2" max="2" width="41.85546875" style="90" bestFit="1" customWidth="1"/>
    <col min="3" max="6" width="11.7109375" style="90" customWidth="1"/>
    <col min="7" max="7" width="50.42578125" style="90" bestFit="1" customWidth="1"/>
    <col min="8" max="8" width="9.140625" style="92"/>
    <col min="9" max="16384" width="9.140625" style="90"/>
  </cols>
  <sheetData>
    <row r="1" spans="2:8" s="1" customFormat="1" ht="11.25" customHeight="1">
      <c r="H1" s="304"/>
    </row>
    <row r="2" spans="2:8" s="6" customFormat="1">
      <c r="B2" s="5" t="str">
        <f>'Key Inputs'!B2</f>
        <v>Company Name:</v>
      </c>
      <c r="C2" s="279" t="str">
        <f>'Key Inputs'!C2</f>
        <v>U. S. Steel Corp.</v>
      </c>
      <c r="F2" s="5"/>
      <c r="H2" s="305"/>
    </row>
    <row r="3" spans="2:8" s="6" customFormat="1">
      <c r="B3" s="5" t="str">
        <f>'Key Inputs'!B3</f>
        <v>Site Name:</v>
      </c>
      <c r="C3" s="279" t="str">
        <f>'Key Inputs'!C3</f>
        <v>Edgar Thomson Plant</v>
      </c>
      <c r="F3" s="5"/>
      <c r="H3" s="305"/>
    </row>
    <row r="4" spans="2:8" s="6" customFormat="1">
      <c r="B4" s="5" t="str">
        <f>'Key Inputs'!B4</f>
        <v>Description:</v>
      </c>
      <c r="C4" s="279" t="str">
        <f>'Key Inputs'!C4</f>
        <v>Title V Permit Renewal</v>
      </c>
      <c r="F4" s="5"/>
      <c r="H4" s="305"/>
    </row>
    <row r="5" spans="2:8" s="6" customFormat="1">
      <c r="B5" s="5" t="str">
        <f>'Key Inputs'!B5</f>
        <v>Date:</v>
      </c>
      <c r="C5" s="281" t="str">
        <f>'Key Inputs'!C5</f>
        <v>10/7/2020 - DRAFT</v>
      </c>
      <c r="F5" s="5"/>
      <c r="H5" s="305"/>
    </row>
    <row r="6" spans="2:8" s="6" customFormat="1">
      <c r="B6" s="5"/>
      <c r="C6" s="5"/>
      <c r="D6" s="5"/>
      <c r="F6" s="5"/>
      <c r="H6" s="305"/>
    </row>
    <row r="7" spans="2:8" s="11" customFormat="1">
      <c r="B7" s="10" t="s">
        <v>326</v>
      </c>
      <c r="C7" s="10"/>
      <c r="D7" s="10"/>
      <c r="F7" s="10"/>
      <c r="H7" s="306"/>
    </row>
    <row r="8" spans="2:8" s="16" customFormat="1">
      <c r="B8" s="14"/>
      <c r="C8" s="15"/>
      <c r="H8" s="304"/>
    </row>
    <row r="9" spans="2:8" s="18" customFormat="1">
      <c r="B9" s="20" t="s">
        <v>25</v>
      </c>
      <c r="C9" s="20" t="s">
        <v>328</v>
      </c>
      <c r="D9" s="20"/>
      <c r="E9" s="21"/>
      <c r="H9" s="307"/>
    </row>
    <row r="10" spans="2:8" s="18" customFormat="1">
      <c r="B10" s="20" t="s">
        <v>56</v>
      </c>
      <c r="C10" s="23" t="s">
        <v>329</v>
      </c>
      <c r="D10" s="20"/>
      <c r="E10" s="21"/>
      <c r="H10" s="307"/>
    </row>
    <row r="11" spans="2:8" s="18" customFormat="1">
      <c r="B11" s="20" t="s">
        <v>291</v>
      </c>
      <c r="C11" s="23" t="s">
        <v>327</v>
      </c>
      <c r="D11" s="20"/>
      <c r="E11" s="21"/>
      <c r="H11" s="307"/>
    </row>
    <row r="12" spans="2:8" s="18" customFormat="1">
      <c r="B12" s="20" t="s">
        <v>26</v>
      </c>
      <c r="C12" s="24">
        <f>'Key Inputs'!$G$19</f>
        <v>8760</v>
      </c>
      <c r="D12" s="21" t="s">
        <v>10</v>
      </c>
      <c r="E12" s="21"/>
      <c r="G12" s="87"/>
      <c r="H12" s="307"/>
    </row>
    <row r="13" spans="2:8" s="18" customFormat="1">
      <c r="B13" s="20" t="s">
        <v>14</v>
      </c>
      <c r="C13" s="26" t="s">
        <v>15</v>
      </c>
      <c r="D13" s="21"/>
      <c r="E13" s="21"/>
      <c r="G13" s="87"/>
      <c r="H13" s="307"/>
    </row>
    <row r="14" spans="2:8" s="18" customFormat="1">
      <c r="B14" s="20" t="s">
        <v>63</v>
      </c>
      <c r="C14" s="185"/>
      <c r="D14" s="21"/>
      <c r="E14" s="21"/>
      <c r="G14" s="87"/>
      <c r="H14" s="307"/>
    </row>
    <row r="15" spans="2:8" s="18" customFormat="1">
      <c r="B15" s="20" t="s">
        <v>95</v>
      </c>
      <c r="C15" s="24">
        <f>'Key Inputs'!$E$19</f>
        <v>3467500</v>
      </c>
      <c r="D15" s="21" t="s">
        <v>102</v>
      </c>
      <c r="E15" s="21"/>
      <c r="H15" s="307"/>
    </row>
    <row r="16" spans="2:8" s="18" customFormat="1">
      <c r="B16" s="20"/>
      <c r="C16" s="24"/>
      <c r="D16" s="21"/>
      <c r="E16" s="21"/>
      <c r="H16" s="307"/>
    </row>
    <row r="17" spans="2:11" s="18" customFormat="1" ht="6" customHeight="1" thickBot="1">
      <c r="D17" s="27"/>
      <c r="E17" s="25"/>
      <c r="F17" s="25"/>
      <c r="H17" s="307"/>
    </row>
    <row r="18" spans="2:11" s="18" customFormat="1" ht="6" customHeight="1">
      <c r="B18" s="28"/>
      <c r="C18" s="29"/>
      <c r="D18" s="30"/>
      <c r="E18" s="31"/>
      <c r="F18" s="31"/>
      <c r="G18" s="32"/>
      <c r="H18" s="307"/>
    </row>
    <row r="19" spans="2:11" s="37" customFormat="1" ht="38.25">
      <c r="B19" s="33" t="s">
        <v>32</v>
      </c>
      <c r="C19" s="34" t="s">
        <v>97</v>
      </c>
      <c r="D19" s="34" t="s">
        <v>33</v>
      </c>
      <c r="E19" s="34" t="s">
        <v>34</v>
      </c>
      <c r="F19" s="34" t="s">
        <v>35</v>
      </c>
      <c r="G19" s="35" t="s">
        <v>36</v>
      </c>
      <c r="H19" s="308"/>
    </row>
    <row r="20" spans="2:11" s="18" customFormat="1" ht="6" customHeight="1" thickBot="1">
      <c r="B20" s="38"/>
      <c r="C20" s="39"/>
      <c r="D20" s="40"/>
      <c r="E20" s="41"/>
      <c r="F20" s="41"/>
      <c r="G20" s="42"/>
      <c r="H20" s="307"/>
    </row>
    <row r="21" spans="2:11" s="18" customFormat="1" ht="6" customHeight="1">
      <c r="B21" s="28"/>
      <c r="C21" s="29"/>
      <c r="D21" s="30"/>
      <c r="E21" s="31"/>
      <c r="F21" s="31"/>
      <c r="G21" s="32"/>
      <c r="H21" s="307"/>
    </row>
    <row r="22" spans="2:11" s="16" customFormat="1">
      <c r="B22" s="43" t="s">
        <v>37</v>
      </c>
      <c r="C22" s="44"/>
      <c r="D22" s="45"/>
      <c r="E22" s="46"/>
      <c r="F22" s="46"/>
      <c r="G22" s="47"/>
      <c r="H22" s="304"/>
    </row>
    <row r="23" spans="2:11" s="16" customFormat="1">
      <c r="B23" s="48" t="s">
        <v>228</v>
      </c>
      <c r="C23" s="49">
        <v>5.12</v>
      </c>
      <c r="D23" s="50">
        <v>22.43</v>
      </c>
      <c r="E23" s="577" t="s">
        <v>21</v>
      </c>
      <c r="F23" s="578" t="s">
        <v>21</v>
      </c>
      <c r="G23" s="301" t="s">
        <v>741</v>
      </c>
      <c r="H23" s="304"/>
    </row>
    <row r="24" spans="2:11" s="16" customFormat="1" ht="14.25">
      <c r="B24" s="48" t="s">
        <v>229</v>
      </c>
      <c r="C24" s="49">
        <v>5.12</v>
      </c>
      <c r="D24" s="50">
        <v>22.43</v>
      </c>
      <c r="E24" s="577" t="s">
        <v>21</v>
      </c>
      <c r="F24" s="578" t="s">
        <v>21</v>
      </c>
      <c r="G24" s="301" t="s">
        <v>741</v>
      </c>
      <c r="H24" s="304"/>
    </row>
    <row r="25" spans="2:11" s="16" customFormat="1" ht="14.25">
      <c r="B25" s="48" t="s">
        <v>230</v>
      </c>
      <c r="C25" s="49">
        <v>5.12</v>
      </c>
      <c r="D25" s="50">
        <v>22.43</v>
      </c>
      <c r="E25" s="577" t="s">
        <v>21</v>
      </c>
      <c r="F25" s="578" t="s">
        <v>21</v>
      </c>
      <c r="G25" s="301" t="s">
        <v>741</v>
      </c>
      <c r="H25" s="304"/>
    </row>
    <row r="26" spans="2:11" s="91" customFormat="1" ht="21" customHeight="1">
      <c r="B26" s="48" t="s">
        <v>227</v>
      </c>
      <c r="C26" s="49">
        <f t="shared" ref="C26" si="0">D26/$C$12*2000</f>
        <v>0.25036458333333328</v>
      </c>
      <c r="D26" s="89">
        <f>E26*C15/2000</f>
        <v>1.0965968749999999</v>
      </c>
      <c r="E26" s="163">
        <f>0.00055*1.15</f>
        <v>6.3250000000000003E-4</v>
      </c>
      <c r="F26" s="52" t="s">
        <v>96</v>
      </c>
      <c r="G26" s="314" t="s">
        <v>233</v>
      </c>
      <c r="H26" s="304" t="s">
        <v>742</v>
      </c>
    </row>
    <row r="27" spans="2:11" s="91" customFormat="1">
      <c r="B27" s="48"/>
      <c r="C27" s="49"/>
      <c r="D27" s="50"/>
      <c r="E27" s="51"/>
      <c r="F27" s="52"/>
      <c r="G27" s="314"/>
      <c r="H27" s="191"/>
    </row>
    <row r="28" spans="2:11" s="16" customFormat="1">
      <c r="B28" s="43" t="s">
        <v>41</v>
      </c>
      <c r="C28" s="49"/>
      <c r="D28" s="50"/>
      <c r="E28" s="80"/>
      <c r="F28" s="52"/>
      <c r="G28" s="301"/>
      <c r="I28" s="304"/>
      <c r="J28" s="304"/>
      <c r="K28" s="304"/>
    </row>
    <row r="29" spans="2:11" s="16" customFormat="1">
      <c r="B29" s="58" t="s">
        <v>86</v>
      </c>
      <c r="C29" s="49"/>
      <c r="D29" s="50"/>
      <c r="E29" s="80"/>
      <c r="F29" s="52"/>
      <c r="G29" s="301"/>
      <c r="I29" s="304"/>
      <c r="J29" s="304"/>
      <c r="K29" s="304"/>
    </row>
    <row r="30" spans="2:11" s="16" customFormat="1">
      <c r="B30" s="48" t="s">
        <v>234</v>
      </c>
      <c r="C30" s="62">
        <f>$C$24*E30%</f>
        <v>1.1967872000000005E-4</v>
      </c>
      <c r="D30" s="62">
        <f>$D$24*E30%</f>
        <v>5.2429564250000018E-4</v>
      </c>
      <c r="E30" s="82">
        <v>2.3374750000000008E-3</v>
      </c>
      <c r="F30" s="52" t="s">
        <v>245</v>
      </c>
      <c r="G30" s="301" t="s">
        <v>330</v>
      </c>
      <c r="I30" s="304"/>
      <c r="J30" s="304"/>
      <c r="K30" s="304"/>
    </row>
    <row r="31" spans="2:11" s="16" customFormat="1">
      <c r="B31" s="48" t="s">
        <v>235</v>
      </c>
      <c r="C31" s="62">
        <f t="shared" ref="C31:C41" si="1">$C$24*E31%</f>
        <v>8.7077760000000026E-6</v>
      </c>
      <c r="D31" s="62">
        <f t="shared" ref="D31:D41" si="2">$D$24*E31%</f>
        <v>3.8147542125000008E-5</v>
      </c>
      <c r="E31" s="82">
        <v>1.7007375000000004E-4</v>
      </c>
      <c r="F31" s="52" t="s">
        <v>245</v>
      </c>
      <c r="G31" s="301" t="s">
        <v>330</v>
      </c>
      <c r="I31" s="304"/>
      <c r="J31" s="304"/>
      <c r="K31" s="304"/>
    </row>
    <row r="32" spans="2:11" s="16" customFormat="1">
      <c r="B32" s="48" t="s">
        <v>236</v>
      </c>
      <c r="C32" s="62">
        <f t="shared" si="1"/>
        <v>6.384000000000001E-6</v>
      </c>
      <c r="D32" s="62">
        <f t="shared" si="2"/>
        <v>2.7967406250000005E-5</v>
      </c>
      <c r="E32" s="82">
        <v>1.2468750000000002E-4</v>
      </c>
      <c r="F32" s="52" t="s">
        <v>245</v>
      </c>
      <c r="G32" s="301" t="s">
        <v>330</v>
      </c>
      <c r="I32" s="304"/>
      <c r="J32" s="304"/>
      <c r="K32" s="304"/>
    </row>
    <row r="33" spans="2:11" s="16" customFormat="1">
      <c r="B33" s="48" t="s">
        <v>237</v>
      </c>
      <c r="C33" s="62">
        <f t="shared" si="1"/>
        <v>5.9754239999999998E-4</v>
      </c>
      <c r="D33" s="62">
        <f t="shared" si="2"/>
        <v>2.6177492249999999E-3</v>
      </c>
      <c r="E33" s="82">
        <v>1.1670750000000001E-2</v>
      </c>
      <c r="F33" s="52" t="s">
        <v>245</v>
      </c>
      <c r="G33" s="301" t="s">
        <v>330</v>
      </c>
      <c r="I33" s="304"/>
      <c r="J33" s="304"/>
      <c r="K33" s="304"/>
    </row>
    <row r="34" spans="2:11" s="16" customFormat="1">
      <c r="B34" s="48" t="s">
        <v>238</v>
      </c>
      <c r="C34" s="62">
        <f t="shared" si="1"/>
        <v>2.4174080000000002E-3</v>
      </c>
      <c r="D34" s="62">
        <f t="shared" si="2"/>
        <v>1.05903245E-2</v>
      </c>
      <c r="E34" s="82">
        <v>4.7215E-2</v>
      </c>
      <c r="F34" s="52" t="s">
        <v>245</v>
      </c>
      <c r="G34" s="301" t="s">
        <v>330</v>
      </c>
      <c r="I34" s="304"/>
      <c r="J34" s="304"/>
      <c r="K34" s="304"/>
    </row>
    <row r="35" spans="2:11" s="16" customFormat="1">
      <c r="B35" s="48" t="s">
        <v>239</v>
      </c>
      <c r="C35" s="62">
        <f t="shared" si="1"/>
        <v>4.6935168000000003E-5</v>
      </c>
      <c r="D35" s="62">
        <f t="shared" si="2"/>
        <v>2.0561637075E-4</v>
      </c>
      <c r="E35" s="82">
        <v>9.167025000000001E-4</v>
      </c>
      <c r="F35" s="52" t="s">
        <v>245</v>
      </c>
      <c r="G35" s="301" t="s">
        <v>330</v>
      </c>
      <c r="I35" s="304"/>
      <c r="J35" s="304"/>
      <c r="K35" s="304"/>
    </row>
    <row r="36" spans="2:11" s="16" customFormat="1">
      <c r="B36" s="48" t="s">
        <v>91</v>
      </c>
      <c r="C36" s="62">
        <f t="shared" si="1"/>
        <v>3.9904256000000008E-3</v>
      </c>
      <c r="D36" s="62">
        <f t="shared" si="2"/>
        <v>1.7481493400000003E-2</v>
      </c>
      <c r="E36" s="82">
        <v>7.7938000000000007E-2</v>
      </c>
      <c r="F36" s="52" t="s">
        <v>245</v>
      </c>
      <c r="G36" s="301" t="s">
        <v>330</v>
      </c>
      <c r="I36" s="304"/>
      <c r="J36" s="304"/>
      <c r="K36" s="304"/>
    </row>
    <row r="37" spans="2:11" s="16" customFormat="1">
      <c r="B37" s="48" t="s">
        <v>240</v>
      </c>
      <c r="C37" s="62">
        <f t="shared" si="1"/>
        <v>0.15662292799999999</v>
      </c>
      <c r="D37" s="62">
        <f t="shared" si="2"/>
        <v>0.68614302246874992</v>
      </c>
      <c r="E37" s="82">
        <v>3.0590415625</v>
      </c>
      <c r="F37" s="52" t="s">
        <v>245</v>
      </c>
      <c r="G37" s="301" t="s">
        <v>330</v>
      </c>
      <c r="I37" s="304"/>
      <c r="J37" s="304"/>
      <c r="K37" s="304"/>
    </row>
    <row r="38" spans="2:11" s="16" customFormat="1">
      <c r="B38" s="48" t="s">
        <v>241</v>
      </c>
      <c r="C38" s="62">
        <f t="shared" si="1"/>
        <v>3.1307136000000001E-8</v>
      </c>
      <c r="D38" s="62">
        <f t="shared" si="2"/>
        <v>1.3715216025000001E-7</v>
      </c>
      <c r="E38" s="82">
        <v>6.1146750000000005E-7</v>
      </c>
      <c r="F38" s="52" t="s">
        <v>245</v>
      </c>
      <c r="G38" s="301" t="s">
        <v>330</v>
      </c>
      <c r="I38" s="304"/>
      <c r="J38" s="304"/>
      <c r="K38" s="304"/>
    </row>
    <row r="39" spans="2:11" s="16" customFormat="1">
      <c r="B39" s="48" t="s">
        <v>242</v>
      </c>
      <c r="C39" s="62">
        <f t="shared" si="1"/>
        <v>1.9492479999999999E-4</v>
      </c>
      <c r="D39" s="62">
        <f t="shared" si="2"/>
        <v>8.5393813749999993E-4</v>
      </c>
      <c r="E39" s="82">
        <v>3.8071249999999997E-3</v>
      </c>
      <c r="F39" s="52" t="s">
        <v>245</v>
      </c>
      <c r="G39" s="301" t="s">
        <v>330</v>
      </c>
      <c r="I39" s="304"/>
      <c r="J39" s="304"/>
      <c r="K39" s="304"/>
    </row>
    <row r="40" spans="2:11" s="16" customFormat="1">
      <c r="B40" s="48" t="s">
        <v>243</v>
      </c>
      <c r="C40" s="62">
        <f t="shared" si="1"/>
        <v>6.384000000000001E-6</v>
      </c>
      <c r="D40" s="62">
        <f t="shared" si="2"/>
        <v>2.7967406250000005E-5</v>
      </c>
      <c r="E40" s="82">
        <v>1.2468750000000002E-4</v>
      </c>
      <c r="F40" s="52" t="s">
        <v>245</v>
      </c>
      <c r="G40" s="301" t="s">
        <v>330</v>
      </c>
      <c r="I40" s="304"/>
      <c r="J40" s="304"/>
      <c r="K40" s="304"/>
    </row>
    <row r="41" spans="2:11" s="16" customFormat="1" ht="13.5" thickBot="1">
      <c r="B41" s="343" t="s">
        <v>244</v>
      </c>
      <c r="C41" s="344">
        <f t="shared" si="1"/>
        <v>1.9456000000000001E-2</v>
      </c>
      <c r="D41" s="344">
        <f t="shared" si="2"/>
        <v>8.5234000000000004E-2</v>
      </c>
      <c r="E41" s="345">
        <v>0.38</v>
      </c>
      <c r="F41" s="241" t="s">
        <v>245</v>
      </c>
      <c r="G41" s="346" t="s">
        <v>330</v>
      </c>
      <c r="I41" s="304"/>
      <c r="J41" s="304"/>
      <c r="K41" s="304"/>
    </row>
  </sheetData>
  <pageMargins left="0.2" right="0.2" top="0.5" bottom="0.5" header="0.05" footer="0.05"/>
  <pageSetup scale="75" orientation="landscape" horizontalDpi="1200" verticalDpi="1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L138"/>
  <sheetViews>
    <sheetView topLeftCell="A99" zoomScaleNormal="100" zoomScaleSheetLayoutView="100" workbookViewId="0">
      <selection activeCell="N38" sqref="N38"/>
    </sheetView>
  </sheetViews>
  <sheetFormatPr defaultColWidth="8.85546875" defaultRowHeight="12.75"/>
  <cols>
    <col min="1" max="1" width="3" style="91" customWidth="1"/>
    <col min="2" max="2" width="41.85546875" style="90" bestFit="1" customWidth="1"/>
    <col min="3" max="6" width="11.7109375" style="90" customWidth="1"/>
    <col min="7" max="7" width="59.42578125" style="90" bestFit="1" customWidth="1"/>
    <col min="8" max="16384" width="8.85546875" style="90"/>
  </cols>
  <sheetData>
    <row r="2" spans="1:6" s="6" customFormat="1">
      <c r="A2" s="8"/>
      <c r="B2" s="5" t="str">
        <f>'Key Inputs'!B2</f>
        <v>Company Name:</v>
      </c>
      <c r="C2" s="279" t="str">
        <f>'Key Inputs'!C2</f>
        <v>U. S. Steel Corp.</v>
      </c>
      <c r="F2" s="5"/>
    </row>
    <row r="3" spans="1:6" s="6" customFormat="1">
      <c r="A3" s="8"/>
      <c r="B3" s="5" t="str">
        <f>'Key Inputs'!B3</f>
        <v>Site Name:</v>
      </c>
      <c r="C3" s="279" t="str">
        <f>'Key Inputs'!C3</f>
        <v>Edgar Thomson Plant</v>
      </c>
      <c r="F3" s="5"/>
    </row>
    <row r="4" spans="1:6" s="6" customFormat="1">
      <c r="A4" s="8"/>
      <c r="B4" s="5" t="str">
        <f>'Key Inputs'!B4</f>
        <v>Description:</v>
      </c>
      <c r="C4" s="279" t="str">
        <f>'Key Inputs'!C4</f>
        <v>Title V Permit Renewal</v>
      </c>
      <c r="F4" s="5"/>
    </row>
    <row r="5" spans="1:6" s="6" customFormat="1">
      <c r="A5" s="8"/>
      <c r="B5" s="5" t="str">
        <f>'Key Inputs'!B5</f>
        <v>Date:</v>
      </c>
      <c r="C5" s="281" t="str">
        <f>'Key Inputs'!C5</f>
        <v>10/7/2020 - DRAFT</v>
      </c>
      <c r="F5" s="5"/>
    </row>
    <row r="6" spans="1:6" s="6" customFormat="1">
      <c r="A6" s="8"/>
      <c r="B6" s="5"/>
      <c r="C6" s="5"/>
      <c r="D6" s="5"/>
      <c r="F6" s="5"/>
    </row>
    <row r="7" spans="1:6" s="11" customFormat="1">
      <c r="A7" s="13"/>
      <c r="B7" s="10" t="s">
        <v>331</v>
      </c>
      <c r="C7" s="10"/>
      <c r="D7" s="10"/>
      <c r="F7" s="10"/>
    </row>
    <row r="8" spans="1:6">
      <c r="B8" s="133"/>
      <c r="C8" s="133"/>
      <c r="D8" s="133"/>
      <c r="E8" s="133"/>
      <c r="F8" s="133"/>
    </row>
    <row r="9" spans="1:6">
      <c r="B9" s="134" t="s">
        <v>25</v>
      </c>
      <c r="C9" s="134" t="s">
        <v>431</v>
      </c>
      <c r="D9" s="133"/>
      <c r="E9" s="133"/>
      <c r="F9" s="133"/>
    </row>
    <row r="10" spans="1:6">
      <c r="B10" s="134" t="s">
        <v>56</v>
      </c>
      <c r="C10" s="135" t="s">
        <v>195</v>
      </c>
      <c r="D10" s="133"/>
      <c r="E10" s="133"/>
      <c r="F10" s="133"/>
    </row>
    <row r="11" spans="1:6">
      <c r="B11" s="134" t="s">
        <v>291</v>
      </c>
      <c r="C11" s="135" t="s">
        <v>182</v>
      </c>
      <c r="D11" s="133" t="s">
        <v>332</v>
      </c>
      <c r="E11" s="133"/>
      <c r="F11" s="133"/>
    </row>
    <row r="12" spans="1:6" s="91" customFormat="1">
      <c r="B12" s="136" t="s">
        <v>59</v>
      </c>
      <c r="C12" s="137">
        <f>'Key Inputs'!$G$31</f>
        <v>8760</v>
      </c>
      <c r="D12" s="138" t="s">
        <v>60</v>
      </c>
      <c r="E12" s="138"/>
      <c r="F12" s="138"/>
    </row>
    <row r="13" spans="1:6" s="91" customFormat="1">
      <c r="B13" s="136" t="s">
        <v>61</v>
      </c>
      <c r="C13" s="138" t="s">
        <v>27</v>
      </c>
      <c r="D13" s="138"/>
      <c r="E13" s="138"/>
      <c r="F13" s="138"/>
    </row>
    <row r="14" spans="1:6" s="91" customFormat="1">
      <c r="B14" s="136" t="s">
        <v>252</v>
      </c>
      <c r="C14" s="138">
        <v>263</v>
      </c>
      <c r="D14" s="138" t="s">
        <v>31</v>
      </c>
      <c r="E14" s="138"/>
      <c r="F14" s="138"/>
    </row>
    <row r="15" spans="1:6" s="91" customFormat="1">
      <c r="B15" s="20" t="s">
        <v>253</v>
      </c>
      <c r="C15" s="24">
        <v>263</v>
      </c>
      <c r="D15" s="21" t="s">
        <v>31</v>
      </c>
      <c r="E15" s="138"/>
      <c r="F15" s="138"/>
    </row>
    <row r="16" spans="1:6" s="91" customFormat="1">
      <c r="B16" s="20"/>
      <c r="C16" s="24"/>
      <c r="D16" s="21"/>
      <c r="E16" s="138"/>
      <c r="F16" s="138"/>
    </row>
    <row r="17" spans="2:12" s="11" customFormat="1" ht="15">
      <c r="B17" s="775" t="s">
        <v>653</v>
      </c>
      <c r="C17" s="329"/>
      <c r="D17" s="329"/>
      <c r="E17" s="330"/>
      <c r="F17" s="329"/>
      <c r="G17" s="331"/>
      <c r="I17" s="306"/>
      <c r="J17" s="306"/>
      <c r="K17" s="306"/>
    </row>
    <row r="18" spans="2:12" s="18" customFormat="1" ht="6" customHeight="1" thickBot="1">
      <c r="D18" s="27"/>
      <c r="E18" s="25"/>
      <c r="F18" s="25"/>
      <c r="G18" s="21"/>
      <c r="I18" s="307"/>
      <c r="J18" s="307"/>
      <c r="K18" s="307"/>
    </row>
    <row r="19" spans="2:12" s="18" customFormat="1" ht="6" customHeight="1">
      <c r="B19" s="28"/>
      <c r="C19" s="29"/>
      <c r="D19" s="30"/>
      <c r="E19" s="31"/>
      <c r="F19" s="31"/>
      <c r="G19" s="298"/>
      <c r="I19" s="307"/>
      <c r="J19" s="307"/>
      <c r="K19" s="307"/>
    </row>
    <row r="20" spans="2:12" s="37" customFormat="1" ht="38.25">
      <c r="B20" s="33" t="s">
        <v>32</v>
      </c>
      <c r="C20" s="34" t="s">
        <v>140</v>
      </c>
      <c r="D20" s="34" t="s">
        <v>141</v>
      </c>
      <c r="E20" s="34" t="s">
        <v>139</v>
      </c>
      <c r="F20" s="34" t="s">
        <v>35</v>
      </c>
      <c r="G20" s="35" t="s">
        <v>36</v>
      </c>
      <c r="I20" s="787"/>
      <c r="J20" s="787"/>
      <c r="K20" s="787"/>
    </row>
    <row r="21" spans="2:12" s="18" customFormat="1" ht="6" customHeight="1" thickBot="1">
      <c r="B21" s="38"/>
      <c r="C21" s="39"/>
      <c r="D21" s="40"/>
      <c r="E21" s="41"/>
      <c r="F21" s="41"/>
      <c r="G21" s="299"/>
      <c r="I21" s="307"/>
      <c r="J21" s="307"/>
      <c r="K21" s="307"/>
    </row>
    <row r="22" spans="2:12" s="18" customFormat="1" ht="6" customHeight="1">
      <c r="B22" s="28"/>
      <c r="C22" s="29"/>
      <c r="D22" s="30"/>
      <c r="E22" s="31"/>
      <c r="F22" s="31"/>
      <c r="G22" s="298"/>
      <c r="I22" s="307"/>
      <c r="J22" s="307"/>
      <c r="K22" s="307"/>
    </row>
    <row r="23" spans="2:12" s="16" customFormat="1">
      <c r="B23" s="43" t="s">
        <v>37</v>
      </c>
      <c r="C23" s="44"/>
      <c r="D23" s="45"/>
      <c r="E23" s="46"/>
      <c r="F23" s="46"/>
      <c r="G23" s="300"/>
      <c r="I23" s="309"/>
      <c r="J23" s="309"/>
      <c r="K23" s="309"/>
    </row>
    <row r="24" spans="2:12" s="16" customFormat="1">
      <c r="B24" s="48" t="s">
        <v>228</v>
      </c>
      <c r="C24" s="49">
        <f>D24*2000/$C$12</f>
        <v>0.22831050228310501</v>
      </c>
      <c r="D24" s="50">
        <v>1</v>
      </c>
      <c r="E24" s="577" t="s">
        <v>21</v>
      </c>
      <c r="F24" s="578" t="s">
        <v>21</v>
      </c>
      <c r="G24" s="301" t="s">
        <v>743</v>
      </c>
      <c r="I24" s="310"/>
      <c r="J24" s="310"/>
      <c r="K24" s="310"/>
    </row>
    <row r="25" spans="2:12" s="16" customFormat="1" ht="14.25">
      <c r="B25" s="48" t="s">
        <v>229</v>
      </c>
      <c r="C25" s="49">
        <f t="shared" ref="C25:C27" si="0">D25*2000/$C$12</f>
        <v>0.22831050228310501</v>
      </c>
      <c r="D25" s="50">
        <v>1</v>
      </c>
      <c r="E25" s="577" t="s">
        <v>21</v>
      </c>
      <c r="F25" s="578" t="s">
        <v>21</v>
      </c>
      <c r="G25" s="301" t="s">
        <v>743</v>
      </c>
      <c r="I25" s="304"/>
      <c r="J25" s="304"/>
      <c r="K25" s="304"/>
    </row>
    <row r="26" spans="2:12" s="16" customFormat="1" ht="14.25">
      <c r="B26" s="48" t="s">
        <v>230</v>
      </c>
      <c r="C26" s="49">
        <f t="shared" si="0"/>
        <v>0.22831050228310501</v>
      </c>
      <c r="D26" s="50">
        <v>1</v>
      </c>
      <c r="E26" s="577" t="s">
        <v>21</v>
      </c>
      <c r="F26" s="578" t="s">
        <v>21</v>
      </c>
      <c r="G26" s="301" t="s">
        <v>743</v>
      </c>
      <c r="I26" s="304"/>
      <c r="J26" s="304"/>
      <c r="K26" s="304"/>
    </row>
    <row r="27" spans="2:12" s="160" customFormat="1" ht="15" customHeight="1">
      <c r="B27" s="48" t="s">
        <v>227</v>
      </c>
      <c r="C27" s="49">
        <f t="shared" si="0"/>
        <v>0.19679965753424655</v>
      </c>
      <c r="D27" s="50">
        <f>E27*C14/2000</f>
        <v>0.86198249999999998</v>
      </c>
      <c r="E27" s="80">
        <f>MAX(E60,E119)</f>
        <v>6.5549999999999997</v>
      </c>
      <c r="F27" s="52" t="s">
        <v>39</v>
      </c>
      <c r="G27" s="314" t="s">
        <v>656</v>
      </c>
      <c r="I27" s="310"/>
      <c r="J27" s="310"/>
      <c r="K27" s="310"/>
      <c r="L27" s="310"/>
    </row>
    <row r="28" spans="2:12" s="16" customFormat="1" ht="14.25">
      <c r="B28" s="48" t="s">
        <v>148</v>
      </c>
      <c r="C28" s="49">
        <f t="shared" ref="C28:C30" si="1">D28*2000/$C$12</f>
        <v>2.7397260273972601</v>
      </c>
      <c r="D28" s="50">
        <v>12</v>
      </c>
      <c r="E28" s="577" t="s">
        <v>21</v>
      </c>
      <c r="F28" s="578" t="s">
        <v>21</v>
      </c>
      <c r="G28" s="301" t="s">
        <v>743</v>
      </c>
      <c r="I28" s="304"/>
      <c r="J28" s="304"/>
      <c r="K28" s="304"/>
    </row>
    <row r="29" spans="2:12" s="16" customFormat="1">
      <c r="B29" s="48" t="s">
        <v>65</v>
      </c>
      <c r="C29" s="49">
        <f t="shared" si="1"/>
        <v>0.22831050228310501</v>
      </c>
      <c r="D29" s="50">
        <v>1</v>
      </c>
      <c r="E29" s="577" t="s">
        <v>21</v>
      </c>
      <c r="F29" s="578" t="s">
        <v>21</v>
      </c>
      <c r="G29" s="301" t="s">
        <v>743</v>
      </c>
      <c r="I29" s="304"/>
      <c r="J29" s="304"/>
      <c r="K29" s="304"/>
    </row>
    <row r="30" spans="2:12" s="16" customFormat="1" ht="14.25">
      <c r="B30" s="48" t="s">
        <v>149</v>
      </c>
      <c r="C30" s="49">
        <f t="shared" si="1"/>
        <v>2.8256782193177545</v>
      </c>
      <c r="D30" s="50">
        <f>E30*C15/2000</f>
        <v>12.376470600611764</v>
      </c>
      <c r="E30" s="648">
        <f>MAX(E61,E120)</f>
        <v>94.117647152941174</v>
      </c>
      <c r="F30" s="578" t="s">
        <v>39</v>
      </c>
      <c r="G30" s="301" t="s">
        <v>656</v>
      </c>
      <c r="I30" s="304"/>
      <c r="J30" s="304"/>
      <c r="K30" s="304"/>
    </row>
    <row r="31" spans="2:12" s="16" customFormat="1">
      <c r="B31" s="48" t="s">
        <v>40</v>
      </c>
      <c r="C31" s="49">
        <f>D31*2000/$C$12</f>
        <v>0.68493150684931503</v>
      </c>
      <c r="D31" s="50">
        <v>3</v>
      </c>
      <c r="E31" s="577" t="s">
        <v>21</v>
      </c>
      <c r="F31" s="578" t="s">
        <v>21</v>
      </c>
      <c r="G31" s="301" t="s">
        <v>743</v>
      </c>
      <c r="I31" s="304"/>
      <c r="J31" s="304"/>
      <c r="K31" s="304"/>
    </row>
    <row r="32" spans="2:12" s="16" customFormat="1">
      <c r="B32" s="48"/>
      <c r="C32" s="49"/>
      <c r="D32" s="50"/>
      <c r="E32" s="579"/>
      <c r="F32" s="52"/>
      <c r="G32" s="301"/>
      <c r="I32" s="304"/>
      <c r="J32" s="304"/>
      <c r="K32" s="304"/>
    </row>
    <row r="33" spans="2:11" s="16" customFormat="1">
      <c r="B33" s="43" t="s">
        <v>41</v>
      </c>
      <c r="C33" s="44"/>
      <c r="D33" s="54"/>
      <c r="E33" s="56"/>
      <c r="F33" s="57"/>
      <c r="G33" s="300"/>
      <c r="I33" s="304"/>
      <c r="J33" s="304"/>
      <c r="K33" s="304"/>
    </row>
    <row r="34" spans="2:11" s="16" customFormat="1">
      <c r="B34" s="58" t="s">
        <v>42</v>
      </c>
      <c r="C34" s="59"/>
      <c r="D34" s="54"/>
      <c r="E34" s="50"/>
      <c r="F34" s="60"/>
      <c r="G34" s="300"/>
      <c r="I34" s="304"/>
      <c r="J34" s="304"/>
      <c r="K34" s="304"/>
    </row>
    <row r="35" spans="2:11" s="16" customFormat="1">
      <c r="B35" s="61" t="s">
        <v>80</v>
      </c>
      <c r="C35" s="49">
        <f t="shared" ref="C35" si="2">D35/$C$12*2000</f>
        <v>6.2147260273972597E-2</v>
      </c>
      <c r="D35" s="50">
        <f t="shared" ref="D35" si="3">E35*$C$15/2000</f>
        <v>0.27220499999999997</v>
      </c>
      <c r="E35" s="80">
        <f>E83</f>
        <v>2.0699999999999998</v>
      </c>
      <c r="F35" s="46" t="s">
        <v>39</v>
      </c>
      <c r="G35" s="300" t="s">
        <v>656</v>
      </c>
      <c r="I35" s="304"/>
      <c r="J35" s="304"/>
      <c r="K35" s="304"/>
    </row>
    <row r="36" spans="2:11" s="16" customFormat="1">
      <c r="B36" s="58"/>
      <c r="C36" s="64"/>
      <c r="D36" s="65"/>
      <c r="E36" s="50"/>
      <c r="F36" s="60"/>
      <c r="G36" s="300"/>
      <c r="I36" s="304"/>
      <c r="J36" s="304"/>
      <c r="K36" s="304"/>
    </row>
    <row r="37" spans="2:11" s="16" customFormat="1">
      <c r="B37" s="58" t="s">
        <v>261</v>
      </c>
      <c r="C37" s="64"/>
      <c r="D37" s="65"/>
      <c r="E37" s="50"/>
      <c r="F37" s="60"/>
      <c r="G37" s="300"/>
      <c r="I37" s="304"/>
      <c r="J37" s="304"/>
      <c r="K37" s="304"/>
    </row>
    <row r="38" spans="2:11" s="16" customFormat="1">
      <c r="B38" s="61" t="s">
        <v>267</v>
      </c>
      <c r="C38" s="49">
        <f t="shared" ref="C38:C40" si="4">D38/$C$12*2000</f>
        <v>0</v>
      </c>
      <c r="D38" s="89">
        <f>E38*$C$16/2000</f>
        <v>0</v>
      </c>
      <c r="E38" s="89">
        <f>E127</f>
        <v>4.5599999999999996</v>
      </c>
      <c r="F38" s="46" t="s">
        <v>39</v>
      </c>
      <c r="G38" s="300" t="s">
        <v>656</v>
      </c>
      <c r="I38" s="304"/>
      <c r="J38" s="304"/>
      <c r="K38" s="304"/>
    </row>
    <row r="39" spans="2:11" s="16" customFormat="1" ht="14.25">
      <c r="B39" s="61" t="s">
        <v>268</v>
      </c>
      <c r="C39" s="62">
        <f t="shared" si="4"/>
        <v>0</v>
      </c>
      <c r="D39" s="63">
        <f>E39*$C$16/2000</f>
        <v>0</v>
      </c>
      <c r="E39" s="63">
        <v>3.3000000000000002E-2</v>
      </c>
      <c r="F39" s="46" t="s">
        <v>39</v>
      </c>
      <c r="G39" s="300" t="s">
        <v>656</v>
      </c>
      <c r="I39" s="304"/>
      <c r="J39" s="304"/>
      <c r="K39" s="304"/>
    </row>
    <row r="40" spans="2:11" s="16" customFormat="1">
      <c r="B40" s="61" t="s">
        <v>262</v>
      </c>
      <c r="C40" s="62">
        <f t="shared" si="4"/>
        <v>0</v>
      </c>
      <c r="D40" s="63">
        <f t="shared" ref="D40" si="5">E40*$C$16/2000</f>
        <v>0</v>
      </c>
      <c r="E40" s="63">
        <v>6.5000000000000002E-2</v>
      </c>
      <c r="F40" s="46" t="s">
        <v>39</v>
      </c>
      <c r="G40" s="300" t="s">
        <v>656</v>
      </c>
      <c r="I40" s="304"/>
      <c r="J40" s="304"/>
      <c r="K40" s="304"/>
    </row>
    <row r="41" spans="2:11" s="16" customFormat="1">
      <c r="B41" s="61" t="s">
        <v>272</v>
      </c>
      <c r="C41" s="50">
        <f>MAX(C91,C130)</f>
        <v>0.11048401826484017</v>
      </c>
      <c r="D41" s="50">
        <f>MAX(D91,D130)</f>
        <v>0.48391999999999996</v>
      </c>
      <c r="E41" s="50">
        <f>MAX(E91,E130)</f>
        <v>3.6799999999999997</v>
      </c>
      <c r="F41" s="60" t="s">
        <v>39</v>
      </c>
      <c r="G41" s="300" t="s">
        <v>656</v>
      </c>
      <c r="I41" s="304"/>
      <c r="J41" s="304"/>
      <c r="K41" s="304"/>
    </row>
    <row r="42" spans="2:11" s="16" customFormat="1">
      <c r="B42" s="58"/>
      <c r="C42" s="64"/>
      <c r="D42" s="65"/>
      <c r="E42" s="50"/>
      <c r="F42" s="60"/>
      <c r="G42" s="300"/>
      <c r="I42" s="304"/>
      <c r="J42" s="304"/>
      <c r="K42" s="304"/>
    </row>
    <row r="43" spans="2:11" s="16" customFormat="1">
      <c r="B43" s="58" t="s">
        <v>86</v>
      </c>
      <c r="C43" s="64"/>
      <c r="D43" s="65"/>
      <c r="E43" s="50"/>
      <c r="F43" s="60"/>
      <c r="G43" s="300"/>
      <c r="I43" s="304"/>
      <c r="J43" s="304"/>
      <c r="K43" s="304"/>
    </row>
    <row r="44" spans="2:11" s="16" customFormat="1">
      <c r="B44" s="61" t="s">
        <v>91</v>
      </c>
      <c r="C44" s="63">
        <f t="shared" ref="C44:D44" si="6">C99</f>
        <v>1.7263127853881278E-5</v>
      </c>
      <c r="D44" s="63">
        <f t="shared" si="6"/>
        <v>7.5612500000000002E-5</v>
      </c>
      <c r="E44" s="63">
        <f>E99</f>
        <v>5.7499999999999999E-4</v>
      </c>
      <c r="F44" s="46" t="s">
        <v>39</v>
      </c>
      <c r="G44" s="300" t="s">
        <v>656</v>
      </c>
      <c r="I44" s="304"/>
      <c r="J44" s="304"/>
      <c r="K44" s="304"/>
    </row>
    <row r="45" spans="2:11" s="16" customFormat="1">
      <c r="B45" s="61" t="s">
        <v>92</v>
      </c>
      <c r="C45" s="63">
        <f t="shared" ref="C45:D45" si="7">C101</f>
        <v>8.976826484018263E-6</v>
      </c>
      <c r="D45" s="63">
        <f t="shared" si="7"/>
        <v>3.9318499999999993E-5</v>
      </c>
      <c r="E45" s="63">
        <f>E101</f>
        <v>2.9899999999999995E-4</v>
      </c>
      <c r="F45" s="46" t="s">
        <v>39</v>
      </c>
      <c r="G45" s="300" t="s">
        <v>656</v>
      </c>
      <c r="I45" s="304"/>
      <c r="J45" s="304"/>
      <c r="K45" s="304"/>
    </row>
    <row r="46" spans="2:11" s="16" customFormat="1">
      <c r="B46" s="66"/>
      <c r="C46" s="67"/>
      <c r="D46" s="68"/>
      <c r="E46" s="69"/>
      <c r="F46" s="46"/>
      <c r="G46" s="300"/>
      <c r="I46" s="304"/>
      <c r="J46" s="304"/>
      <c r="K46" s="304"/>
    </row>
    <row r="47" spans="2:11" s="16" customFormat="1">
      <c r="B47" s="43" t="s">
        <v>44</v>
      </c>
      <c r="C47" s="44"/>
      <c r="D47" s="68"/>
      <c r="E47" s="69"/>
      <c r="F47" s="46"/>
      <c r="G47" s="300"/>
      <c r="I47" s="304"/>
      <c r="J47" s="304"/>
      <c r="K47" s="304"/>
    </row>
    <row r="48" spans="2:11" s="16" customFormat="1" ht="14.25">
      <c r="B48" s="70" t="s">
        <v>150</v>
      </c>
      <c r="C48" s="71">
        <f>D48/$C$12*2000</f>
        <v>3719.196354738277</v>
      </c>
      <c r="D48" s="72">
        <f>E48*'Key Inputs'!$D$43*$C$15/2000</f>
        <v>16290.080033753655</v>
      </c>
      <c r="E48" s="586">
        <f>MAX(E106,E133)</f>
        <v>116.97727631529604</v>
      </c>
      <c r="F48" s="52" t="s">
        <v>45</v>
      </c>
      <c r="G48" s="314" t="s">
        <v>656</v>
      </c>
      <c r="I48" s="304"/>
      <c r="J48" s="304"/>
      <c r="K48" s="304"/>
    </row>
    <row r="49" spans="2:12" s="16" customFormat="1" ht="14.25">
      <c r="B49" s="70" t="s">
        <v>151</v>
      </c>
      <c r="C49" s="49">
        <f>D49/$C$12*2000</f>
        <v>7.0094164243088522E-2</v>
      </c>
      <c r="D49" s="72">
        <f>E49*'Key Inputs'!$D$43*$C$15/2000</f>
        <v>0.30701243938472772</v>
      </c>
      <c r="E49" s="587">
        <f>MAX(E107,E134)</f>
        <v>2.2046226218487759E-3</v>
      </c>
      <c r="F49" s="52" t="s">
        <v>45</v>
      </c>
      <c r="G49" s="314" t="s">
        <v>656</v>
      </c>
      <c r="I49" s="304"/>
      <c r="J49" s="304"/>
      <c r="K49" s="304"/>
    </row>
    <row r="50" spans="2:12" s="16" customFormat="1" ht="14.25">
      <c r="B50" s="70" t="s">
        <v>152</v>
      </c>
      <c r="C50" s="49">
        <f>D50/$C$12*2000</f>
        <v>8.0608288879551789E-3</v>
      </c>
      <c r="D50" s="72">
        <f>E50*'Key Inputs'!$D$43*$C$15/2000</f>
        <v>3.5306430529243683E-2</v>
      </c>
      <c r="E50" s="588">
        <f>MAX(E108,E135)</f>
        <v>2.5353160151260918E-4</v>
      </c>
      <c r="F50" s="52" t="s">
        <v>45</v>
      </c>
      <c r="G50" s="314" t="s">
        <v>656</v>
      </c>
      <c r="I50" s="304"/>
      <c r="J50" s="304"/>
      <c r="K50" s="304"/>
    </row>
    <row r="51" spans="2:12" s="16" customFormat="1" ht="15" thickBot="1">
      <c r="B51" s="581" t="s">
        <v>153</v>
      </c>
      <c r="C51" s="582">
        <f>D51/$C$12*2000</f>
        <v>3723.3508358529648</v>
      </c>
      <c r="D51" s="583">
        <f>D48*'Key Inputs'!$C$62+D49*'Key Inputs'!$C$63+D50*'Key Inputs'!$C$64</f>
        <v>16308.276661035987</v>
      </c>
      <c r="E51" s="584" t="s">
        <v>46</v>
      </c>
      <c r="F51" s="585" t="s">
        <v>46</v>
      </c>
      <c r="G51" s="299" t="s">
        <v>47</v>
      </c>
      <c r="I51" s="304"/>
      <c r="J51" s="304"/>
      <c r="K51" s="304"/>
    </row>
    <row r="52" spans="2:12" s="16" customFormat="1">
      <c r="B52" s="580"/>
      <c r="C52" s="71"/>
      <c r="D52" s="73"/>
      <c r="E52" s="74"/>
      <c r="F52" s="75"/>
      <c r="G52" s="300"/>
      <c r="I52" s="304"/>
      <c r="J52" s="304"/>
      <c r="K52" s="304"/>
    </row>
    <row r="53" spans="2:12" s="11" customFormat="1" ht="15">
      <c r="B53" s="775" t="s">
        <v>251</v>
      </c>
      <c r="C53" s="329"/>
      <c r="D53" s="329"/>
      <c r="E53" s="330"/>
      <c r="F53" s="329"/>
      <c r="G53" s="331"/>
      <c r="I53" s="306"/>
      <c r="J53" s="306"/>
      <c r="K53" s="306"/>
    </row>
    <row r="54" spans="2:12" s="18" customFormat="1" ht="6" customHeight="1" thickBot="1">
      <c r="D54" s="27"/>
      <c r="E54" s="25"/>
      <c r="F54" s="25"/>
      <c r="G54" s="21"/>
      <c r="I54" s="307"/>
      <c r="J54" s="307"/>
      <c r="K54" s="307"/>
    </row>
    <row r="55" spans="2:12" s="18" customFormat="1" ht="6" customHeight="1">
      <c r="B55" s="28"/>
      <c r="C55" s="29"/>
      <c r="D55" s="30"/>
      <c r="E55" s="31"/>
      <c r="F55" s="31"/>
      <c r="G55" s="298"/>
      <c r="I55" s="307"/>
      <c r="J55" s="307"/>
      <c r="K55" s="307"/>
    </row>
    <row r="56" spans="2:12" s="37" customFormat="1" ht="38.25">
      <c r="B56" s="33" t="s">
        <v>32</v>
      </c>
      <c r="C56" s="34" t="s">
        <v>140</v>
      </c>
      <c r="D56" s="34" t="s">
        <v>141</v>
      </c>
      <c r="E56" s="34" t="s">
        <v>139</v>
      </c>
      <c r="F56" s="34" t="s">
        <v>35</v>
      </c>
      <c r="G56" s="35" t="s">
        <v>36</v>
      </c>
      <c r="I56" s="787"/>
      <c r="J56" s="787"/>
      <c r="K56" s="787"/>
    </row>
    <row r="57" spans="2:12" s="18" customFormat="1" ht="6" customHeight="1" thickBot="1">
      <c r="B57" s="38"/>
      <c r="C57" s="39"/>
      <c r="D57" s="40"/>
      <c r="E57" s="41"/>
      <c r="F57" s="41"/>
      <c r="G57" s="299"/>
      <c r="I57" s="307"/>
      <c r="J57" s="307"/>
      <c r="K57" s="307"/>
    </row>
    <row r="58" spans="2:12" s="18" customFormat="1" ht="6" customHeight="1">
      <c r="B58" s="28"/>
      <c r="C58" s="29"/>
      <c r="D58" s="30"/>
      <c r="E58" s="31"/>
      <c r="F58" s="31"/>
      <c r="G58" s="298"/>
      <c r="I58" s="307"/>
      <c r="J58" s="307"/>
      <c r="K58" s="307"/>
    </row>
    <row r="59" spans="2:12" s="16" customFormat="1">
      <c r="B59" s="43" t="s">
        <v>37</v>
      </c>
      <c r="C59" s="44"/>
      <c r="D59" s="45"/>
      <c r="E59" s="46"/>
      <c r="F59" s="46"/>
      <c r="G59" s="300"/>
      <c r="H59" s="304"/>
      <c r="I59" s="309"/>
      <c r="J59" s="309"/>
      <c r="K59" s="309"/>
    </row>
    <row r="60" spans="2:12" s="160" customFormat="1" ht="15" customHeight="1">
      <c r="B60" s="48" t="s">
        <v>227</v>
      </c>
      <c r="C60" s="49">
        <f t="shared" ref="C60:C61" si="8">D60/$C$12*2000</f>
        <v>0</v>
      </c>
      <c r="D60" s="50">
        <f>E60*C46/2000</f>
        <v>0</v>
      </c>
      <c r="E60" s="334">
        <f>5.7*(1+'Key Inputs'!$G$2)</f>
        <v>6.5549999999999997</v>
      </c>
      <c r="F60" s="52" t="s">
        <v>39</v>
      </c>
      <c r="G60" s="301" t="s">
        <v>126</v>
      </c>
      <c r="H60" s="310"/>
      <c r="I60" s="310"/>
      <c r="J60" s="310"/>
      <c r="K60" s="310"/>
      <c r="L60" s="310"/>
    </row>
    <row r="61" spans="2:12" s="16" customFormat="1" ht="14.25">
      <c r="B61" s="48" t="s">
        <v>149</v>
      </c>
      <c r="C61" s="49">
        <f t="shared" si="8"/>
        <v>2.0715753424657531E-2</v>
      </c>
      <c r="D61" s="50">
        <f t="shared" ref="D61" si="9">E61*$C$15/2000</f>
        <v>9.0734999999999996E-2</v>
      </c>
      <c r="E61" s="321">
        <f>0.6*(1+'Key Inputs'!$G$2)</f>
        <v>0.69</v>
      </c>
      <c r="F61" s="52" t="s">
        <v>39</v>
      </c>
      <c r="G61" s="301" t="s">
        <v>126</v>
      </c>
      <c r="H61" s="304"/>
      <c r="I61" s="304"/>
      <c r="J61" s="304"/>
      <c r="K61" s="304"/>
    </row>
    <row r="62" spans="2:12" s="16" customFormat="1">
      <c r="B62" s="48"/>
      <c r="C62" s="49"/>
      <c r="D62" s="50"/>
      <c r="E62" s="579"/>
      <c r="F62" s="52"/>
      <c r="G62" s="301"/>
      <c r="H62" s="304"/>
      <c r="I62" s="304"/>
      <c r="J62" s="304"/>
      <c r="K62" s="304"/>
    </row>
    <row r="63" spans="2:12" s="16" customFormat="1">
      <c r="B63" s="43" t="s">
        <v>41</v>
      </c>
      <c r="C63" s="44"/>
      <c r="D63" s="54"/>
      <c r="E63" s="56"/>
      <c r="F63" s="57"/>
      <c r="G63" s="300"/>
      <c r="I63" s="304"/>
      <c r="J63" s="304"/>
      <c r="K63" s="304"/>
    </row>
    <row r="64" spans="2:12" s="16" customFormat="1">
      <c r="B64" s="58" t="s">
        <v>42</v>
      </c>
      <c r="C64" s="59"/>
      <c r="D64" s="54"/>
      <c r="E64" s="50"/>
      <c r="F64" s="60"/>
      <c r="G64" s="300"/>
      <c r="I64" s="304"/>
      <c r="J64" s="304"/>
      <c r="K64" s="304"/>
    </row>
    <row r="65" spans="2:11" s="16" customFormat="1" hidden="1">
      <c r="B65" s="61" t="s">
        <v>66</v>
      </c>
      <c r="C65" s="62">
        <f t="shared" ref="C65:C88" si="10">D65/$C$12*2000</f>
        <v>8.2863013698630141E-7</v>
      </c>
      <c r="D65" s="63">
        <f>E65*$C$15/2000</f>
        <v>3.6293999999999999E-6</v>
      </c>
      <c r="E65" s="326">
        <f>0.000024*(1+'Key Inputs'!$G$2)</f>
        <v>2.76E-5</v>
      </c>
      <c r="F65" s="46" t="s">
        <v>39</v>
      </c>
      <c r="G65" s="300" t="s">
        <v>128</v>
      </c>
      <c r="I65" s="304"/>
      <c r="J65" s="304"/>
      <c r="K65" s="304"/>
    </row>
    <row r="66" spans="2:11" s="16" customFormat="1" hidden="1">
      <c r="B66" s="61" t="s">
        <v>67</v>
      </c>
      <c r="C66" s="62">
        <f t="shared" si="10"/>
        <v>6.2147260273972606E-8</v>
      </c>
      <c r="D66" s="63">
        <f t="shared" ref="D66:D88" si="11">E66*$C$15/2000</f>
        <v>2.7220499999999999E-7</v>
      </c>
      <c r="E66" s="326">
        <f>0.0000018*(1+'Key Inputs'!$G$2)</f>
        <v>2.0699999999999997E-6</v>
      </c>
      <c r="F66" s="46" t="s">
        <v>39</v>
      </c>
      <c r="G66" s="300" t="s">
        <v>128</v>
      </c>
      <c r="I66" s="304"/>
      <c r="J66" s="304"/>
      <c r="K66" s="304"/>
    </row>
    <row r="67" spans="2:11" s="16" customFormat="1" hidden="1">
      <c r="B67" s="61" t="s">
        <v>68</v>
      </c>
      <c r="C67" s="62">
        <f t="shared" si="10"/>
        <v>5.5242009132420083E-7</v>
      </c>
      <c r="D67" s="63">
        <f t="shared" si="11"/>
        <v>2.4195999999999997E-6</v>
      </c>
      <c r="E67" s="326">
        <f>0.000016*(1+'Key Inputs'!$G$2)</f>
        <v>1.8399999999999997E-5</v>
      </c>
      <c r="F67" s="46" t="s">
        <v>39</v>
      </c>
      <c r="G67" s="300" t="s">
        <v>128</v>
      </c>
      <c r="I67" s="304"/>
      <c r="J67" s="304"/>
      <c r="K67" s="304"/>
    </row>
    <row r="68" spans="2:11" s="16" customFormat="1" hidden="1">
      <c r="B68" s="61" t="s">
        <v>108</v>
      </c>
      <c r="C68" s="62">
        <f t="shared" si="10"/>
        <v>6.2147260273972606E-8</v>
      </c>
      <c r="D68" s="63">
        <f t="shared" si="11"/>
        <v>2.7220499999999999E-7</v>
      </c>
      <c r="E68" s="326">
        <f>0.0000018*(1+'Key Inputs'!$G$2)</f>
        <v>2.0699999999999997E-6</v>
      </c>
      <c r="F68" s="46" t="s">
        <v>39</v>
      </c>
      <c r="G68" s="300" t="s">
        <v>128</v>
      </c>
      <c r="I68" s="304"/>
      <c r="J68" s="304"/>
      <c r="K68" s="304"/>
    </row>
    <row r="69" spans="2:11" s="16" customFormat="1" hidden="1">
      <c r="B69" s="61" t="s">
        <v>109</v>
      </c>
      <c r="C69" s="62">
        <f t="shared" si="10"/>
        <v>6.2147260273972606E-8</v>
      </c>
      <c r="D69" s="63">
        <f t="shared" si="11"/>
        <v>2.7220499999999999E-7</v>
      </c>
      <c r="E69" s="326">
        <f>0.0000018*(1+'Key Inputs'!$G$2)</f>
        <v>2.0699999999999997E-6</v>
      </c>
      <c r="F69" s="46" t="s">
        <v>39</v>
      </c>
      <c r="G69" s="300" t="s">
        <v>128</v>
      </c>
      <c r="I69" s="304"/>
      <c r="J69" s="304"/>
      <c r="K69" s="304"/>
    </row>
    <row r="70" spans="2:11" s="16" customFormat="1" hidden="1">
      <c r="B70" s="61" t="s">
        <v>69</v>
      </c>
      <c r="C70" s="62">
        <f t="shared" si="10"/>
        <v>8.2863013698630128E-8</v>
      </c>
      <c r="D70" s="63">
        <f t="shared" si="11"/>
        <v>3.6293999999999994E-7</v>
      </c>
      <c r="E70" s="326">
        <f>0.0000024*(1+'Key Inputs'!$G$2)</f>
        <v>2.7599999999999998E-6</v>
      </c>
      <c r="F70" s="46" t="s">
        <v>39</v>
      </c>
      <c r="G70" s="300" t="s">
        <v>128</v>
      </c>
      <c r="I70" s="304"/>
      <c r="J70" s="304"/>
      <c r="K70" s="304"/>
    </row>
    <row r="71" spans="2:11" s="16" customFormat="1" hidden="1">
      <c r="B71" s="61" t="s">
        <v>70</v>
      </c>
      <c r="C71" s="62">
        <f t="shared" si="10"/>
        <v>6.2147260273972606E-8</v>
      </c>
      <c r="D71" s="63">
        <f t="shared" si="11"/>
        <v>2.7220499999999999E-7</v>
      </c>
      <c r="E71" s="326">
        <f>0.0000018*(1+'Key Inputs'!$G$2)</f>
        <v>2.0699999999999997E-6</v>
      </c>
      <c r="F71" s="46" t="s">
        <v>39</v>
      </c>
      <c r="G71" s="300" t="s">
        <v>128</v>
      </c>
      <c r="I71" s="304"/>
      <c r="J71" s="304"/>
      <c r="K71" s="304"/>
    </row>
    <row r="72" spans="2:11" s="16" customFormat="1" hidden="1">
      <c r="B72" s="61" t="s">
        <v>43</v>
      </c>
      <c r="C72" s="62">
        <f t="shared" si="10"/>
        <v>7.2505136986301356E-5</v>
      </c>
      <c r="D72" s="63">
        <f t="shared" si="11"/>
        <v>3.1757249999999991E-4</v>
      </c>
      <c r="E72" s="326">
        <f>0.0021*(1+'Key Inputs'!$G$2)</f>
        <v>2.4149999999999996E-3</v>
      </c>
      <c r="F72" s="46" t="s">
        <v>39</v>
      </c>
      <c r="G72" s="300" t="s">
        <v>128</v>
      </c>
      <c r="I72" s="304"/>
      <c r="J72" s="304"/>
      <c r="K72" s="304"/>
    </row>
    <row r="73" spans="2:11" s="16" customFormat="1" hidden="1">
      <c r="B73" s="61" t="s">
        <v>71</v>
      </c>
      <c r="C73" s="62">
        <f t="shared" si="10"/>
        <v>4.1431506849315064E-8</v>
      </c>
      <c r="D73" s="63">
        <f t="shared" si="11"/>
        <v>1.8146999999999997E-7</v>
      </c>
      <c r="E73" s="326">
        <f>0.0000012*(1+'Key Inputs'!$G$2)</f>
        <v>1.3799999999999999E-6</v>
      </c>
      <c r="F73" s="46" t="s">
        <v>39</v>
      </c>
      <c r="G73" s="300" t="s">
        <v>128</v>
      </c>
      <c r="I73" s="304"/>
      <c r="J73" s="304"/>
      <c r="K73" s="304"/>
    </row>
    <row r="74" spans="2:11" s="16" customFormat="1" hidden="1">
      <c r="B74" s="61" t="s">
        <v>72</v>
      </c>
      <c r="C74" s="62">
        <f t="shared" si="10"/>
        <v>6.2147260273972606E-8</v>
      </c>
      <c r="D74" s="63">
        <f t="shared" si="11"/>
        <v>2.7220499999999999E-7</v>
      </c>
      <c r="E74" s="326">
        <f>0.0000018*(1+'Key Inputs'!$G$2)</f>
        <v>2.0699999999999997E-6</v>
      </c>
      <c r="F74" s="46" t="s">
        <v>39</v>
      </c>
      <c r="G74" s="300" t="s">
        <v>128</v>
      </c>
      <c r="I74" s="304"/>
      <c r="J74" s="304"/>
      <c r="K74" s="304"/>
    </row>
    <row r="75" spans="2:11" s="16" customFormat="1" hidden="1">
      <c r="B75" s="61" t="s">
        <v>73</v>
      </c>
      <c r="C75" s="62">
        <f t="shared" si="10"/>
        <v>4.1431506849315064E-8</v>
      </c>
      <c r="D75" s="63">
        <f t="shared" si="11"/>
        <v>1.8146999999999997E-7</v>
      </c>
      <c r="E75" s="326">
        <f>0.0000012*(1+'Key Inputs'!$G$2)</f>
        <v>1.3799999999999999E-6</v>
      </c>
      <c r="F75" s="46" t="s">
        <v>39</v>
      </c>
      <c r="G75" s="300" t="s">
        <v>128</v>
      </c>
      <c r="I75" s="304"/>
      <c r="J75" s="304"/>
      <c r="K75" s="304"/>
    </row>
    <row r="76" spans="2:11" s="16" customFormat="1" hidden="1">
      <c r="B76" s="61" t="s">
        <v>74</v>
      </c>
      <c r="C76" s="62">
        <f t="shared" si="10"/>
        <v>6.2147260273972606E-8</v>
      </c>
      <c r="D76" s="63">
        <f t="shared" si="11"/>
        <v>2.7220499999999999E-7</v>
      </c>
      <c r="E76" s="326">
        <f>0.0000018*(1+'Key Inputs'!$G$2)</f>
        <v>2.0699999999999997E-6</v>
      </c>
      <c r="F76" s="46" t="s">
        <v>39</v>
      </c>
      <c r="G76" s="300" t="s">
        <v>128</v>
      </c>
      <c r="I76" s="304"/>
      <c r="J76" s="304"/>
      <c r="K76" s="304"/>
    </row>
    <row r="77" spans="2:11" s="16" customFormat="1" hidden="1">
      <c r="B77" s="61" t="s">
        <v>75</v>
      </c>
      <c r="C77" s="62">
        <f t="shared" si="10"/>
        <v>6.2147260273972606E-8</v>
      </c>
      <c r="D77" s="63">
        <f t="shared" si="11"/>
        <v>2.7220499999999999E-7</v>
      </c>
      <c r="E77" s="326">
        <f>0.0000018*(1+'Key Inputs'!$G$2)</f>
        <v>2.0699999999999997E-6</v>
      </c>
      <c r="F77" s="46" t="s">
        <v>39</v>
      </c>
      <c r="G77" s="300" t="s">
        <v>128</v>
      </c>
      <c r="I77" s="304"/>
      <c r="J77" s="304"/>
      <c r="K77" s="304"/>
    </row>
    <row r="78" spans="2:11" s="16" customFormat="1" hidden="1">
      <c r="B78" s="61" t="s">
        <v>76</v>
      </c>
      <c r="C78" s="62">
        <f t="shared" si="10"/>
        <v>4.1431506849315064E-8</v>
      </c>
      <c r="D78" s="63">
        <f t="shared" si="11"/>
        <v>1.8146999999999997E-7</v>
      </c>
      <c r="E78" s="326">
        <f>0.0000012*(1+'Key Inputs'!$G$2)</f>
        <v>1.3799999999999999E-6</v>
      </c>
      <c r="F78" s="46" t="s">
        <v>39</v>
      </c>
      <c r="G78" s="300" t="s">
        <v>128</v>
      </c>
      <c r="I78" s="304"/>
      <c r="J78" s="304"/>
      <c r="K78" s="304"/>
    </row>
    <row r="79" spans="2:11" s="16" customFormat="1" hidden="1">
      <c r="B79" s="61" t="s">
        <v>77</v>
      </c>
      <c r="C79" s="62">
        <f t="shared" si="10"/>
        <v>4.1431506849315058E-5</v>
      </c>
      <c r="D79" s="63">
        <f t="shared" si="11"/>
        <v>1.8146999999999995E-4</v>
      </c>
      <c r="E79" s="326">
        <f>0.0012*(1+'Key Inputs'!$G$2)</f>
        <v>1.3799999999999997E-3</v>
      </c>
      <c r="F79" s="46" t="s">
        <v>39</v>
      </c>
      <c r="G79" s="300" t="s">
        <v>128</v>
      </c>
      <c r="I79" s="304"/>
      <c r="J79" s="304"/>
      <c r="K79" s="304"/>
    </row>
    <row r="80" spans="2:11" s="16" customFormat="1" hidden="1">
      <c r="B80" s="61" t="s">
        <v>78</v>
      </c>
      <c r="C80" s="62">
        <f t="shared" si="10"/>
        <v>1.0357876712328768E-7</v>
      </c>
      <c r="D80" s="63">
        <f t="shared" si="11"/>
        <v>4.5367499999999999E-7</v>
      </c>
      <c r="E80" s="326">
        <f>0.000003*(1+'Key Inputs'!$G$2)</f>
        <v>3.45E-6</v>
      </c>
      <c r="F80" s="46" t="s">
        <v>39</v>
      </c>
      <c r="G80" s="300" t="s">
        <v>128</v>
      </c>
      <c r="I80" s="304"/>
      <c r="J80" s="304"/>
      <c r="K80" s="304"/>
    </row>
    <row r="81" spans="2:11" s="16" customFormat="1" hidden="1">
      <c r="B81" s="61" t="s">
        <v>79</v>
      </c>
      <c r="C81" s="62">
        <f t="shared" si="10"/>
        <v>9.6673515981735151E-8</v>
      </c>
      <c r="D81" s="63">
        <f t="shared" si="11"/>
        <v>4.2342999999999997E-7</v>
      </c>
      <c r="E81" s="326">
        <f>0.0000028*(1+'Key Inputs'!$G$2)</f>
        <v>3.2199999999999997E-6</v>
      </c>
      <c r="F81" s="46" t="s">
        <v>39</v>
      </c>
      <c r="G81" s="300" t="s">
        <v>128</v>
      </c>
      <c r="I81" s="304"/>
      <c r="J81" s="304"/>
      <c r="K81" s="304"/>
    </row>
    <row r="82" spans="2:11" s="16" customFormat="1" hidden="1">
      <c r="B82" s="61" t="s">
        <v>106</v>
      </c>
      <c r="C82" s="62">
        <f t="shared" si="10"/>
        <v>2.5894691780821914E-3</v>
      </c>
      <c r="D82" s="63">
        <f t="shared" si="11"/>
        <v>1.1341875E-2</v>
      </c>
      <c r="E82" s="326">
        <f>0.075*(1+'Key Inputs'!$G$2)</f>
        <v>8.6249999999999993E-2</v>
      </c>
      <c r="F82" s="46" t="s">
        <v>39</v>
      </c>
      <c r="G82" s="300" t="s">
        <v>128</v>
      </c>
      <c r="I82" s="304"/>
      <c r="J82" s="304"/>
      <c r="K82" s="304"/>
    </row>
    <row r="83" spans="2:11" s="16" customFormat="1">
      <c r="B83" s="61" t="s">
        <v>80</v>
      </c>
      <c r="C83" s="49">
        <f t="shared" si="10"/>
        <v>6.2147260273972597E-2</v>
      </c>
      <c r="D83" s="89">
        <f t="shared" si="11"/>
        <v>0.27220499999999997</v>
      </c>
      <c r="E83" s="328">
        <f>1.8*(1+'Key Inputs'!$G$2)</f>
        <v>2.0699999999999998</v>
      </c>
      <c r="F83" s="46" t="s">
        <v>39</v>
      </c>
      <c r="G83" s="300" t="s">
        <v>128</v>
      </c>
      <c r="I83" s="304"/>
      <c r="J83" s="304"/>
      <c r="K83" s="304"/>
    </row>
    <row r="84" spans="2:11" s="16" customFormat="1" hidden="1">
      <c r="B84" s="61" t="s">
        <v>81</v>
      </c>
      <c r="C84" s="62">
        <f t="shared" si="10"/>
        <v>6.2147260273972606E-8</v>
      </c>
      <c r="D84" s="63">
        <f t="shared" si="11"/>
        <v>2.7220499999999999E-7</v>
      </c>
      <c r="E84" s="326">
        <f>0.0000018*(1+'Key Inputs'!$G$2)</f>
        <v>2.0699999999999997E-6</v>
      </c>
      <c r="F84" s="46" t="s">
        <v>39</v>
      </c>
      <c r="G84" s="300" t="s">
        <v>128</v>
      </c>
      <c r="I84" s="304"/>
      <c r="J84" s="304"/>
      <c r="K84" s="304"/>
    </row>
    <row r="85" spans="2:11" s="16" customFormat="1" hidden="1">
      <c r="B85" s="61" t="s">
        <v>82</v>
      </c>
      <c r="C85" s="62">
        <f t="shared" si="10"/>
        <v>2.1061015981735158E-5</v>
      </c>
      <c r="D85" s="63">
        <f t="shared" si="11"/>
        <v>9.224724999999999E-5</v>
      </c>
      <c r="E85" s="326">
        <f>0.00061*(1+'Key Inputs'!$G$2)</f>
        <v>7.0149999999999987E-4</v>
      </c>
      <c r="F85" s="46" t="s">
        <v>39</v>
      </c>
      <c r="G85" s="300" t="s">
        <v>128</v>
      </c>
      <c r="I85" s="304"/>
      <c r="J85" s="304"/>
      <c r="K85" s="304"/>
    </row>
    <row r="86" spans="2:11" s="16" customFormat="1" hidden="1">
      <c r="B86" s="61" t="s">
        <v>83</v>
      </c>
      <c r="C86" s="62">
        <f t="shared" si="10"/>
        <v>5.8694634703196335E-7</v>
      </c>
      <c r="D86" s="63">
        <f t="shared" si="11"/>
        <v>2.5708249999999996E-6</v>
      </c>
      <c r="E86" s="326">
        <f>0.000017*(1+'Key Inputs'!$G$2)</f>
        <v>1.9549999999999997E-5</v>
      </c>
      <c r="F86" s="46" t="s">
        <v>39</v>
      </c>
      <c r="G86" s="300" t="s">
        <v>128</v>
      </c>
      <c r="I86" s="304"/>
      <c r="J86" s="304"/>
      <c r="K86" s="304"/>
    </row>
    <row r="87" spans="2:11" s="16" customFormat="1" hidden="1">
      <c r="B87" s="61" t="s">
        <v>84</v>
      </c>
      <c r="C87" s="62">
        <f t="shared" si="10"/>
        <v>1.7263127853881278E-7</v>
      </c>
      <c r="D87" s="63">
        <f t="shared" si="11"/>
        <v>7.56125E-7</v>
      </c>
      <c r="E87" s="326">
        <f>0.000005*(1+'Key Inputs'!$G$2)</f>
        <v>5.75E-6</v>
      </c>
      <c r="F87" s="46" t="s">
        <v>39</v>
      </c>
      <c r="G87" s="300" t="s">
        <v>128</v>
      </c>
      <c r="I87" s="304"/>
      <c r="J87" s="304"/>
      <c r="K87" s="304"/>
    </row>
    <row r="88" spans="2:11" s="16" customFormat="1" hidden="1">
      <c r="B88" s="61" t="s">
        <v>85</v>
      </c>
      <c r="C88" s="62">
        <f t="shared" si="10"/>
        <v>1.1738926940639267E-4</v>
      </c>
      <c r="D88" s="63">
        <f t="shared" si="11"/>
        <v>5.1416499999999991E-4</v>
      </c>
      <c r="E88" s="326">
        <f>0.0034*(1+'Key Inputs'!$G$2)</f>
        <v>3.9099999999999994E-3</v>
      </c>
      <c r="F88" s="46" t="s">
        <v>39</v>
      </c>
      <c r="G88" s="300" t="s">
        <v>128</v>
      </c>
      <c r="I88" s="304"/>
      <c r="J88" s="304"/>
      <c r="K88" s="304"/>
    </row>
    <row r="89" spans="2:11" s="16" customFormat="1">
      <c r="B89" s="58"/>
      <c r="C89" s="64"/>
      <c r="D89" s="65"/>
      <c r="E89" s="50"/>
      <c r="F89" s="60"/>
      <c r="G89" s="300"/>
      <c r="I89" s="304"/>
      <c r="J89" s="304"/>
      <c r="K89" s="304"/>
    </row>
    <row r="90" spans="2:11" s="16" customFormat="1">
      <c r="B90" s="58" t="s">
        <v>261</v>
      </c>
      <c r="C90" s="64"/>
      <c r="D90" s="65"/>
      <c r="E90" s="50"/>
      <c r="F90" s="60"/>
      <c r="G90" s="300"/>
      <c r="I90" s="304"/>
      <c r="J90" s="304"/>
      <c r="K90" s="304"/>
    </row>
    <row r="91" spans="2:11" s="16" customFormat="1">
      <c r="B91" s="61" t="s">
        <v>272</v>
      </c>
      <c r="C91" s="49">
        <f t="shared" ref="C91" si="12">D91/$C$12*2000</f>
        <v>0.11048401826484017</v>
      </c>
      <c r="D91" s="89">
        <f t="shared" ref="D91" si="13">E91*$C$15/2000</f>
        <v>0.48391999999999996</v>
      </c>
      <c r="E91" s="328">
        <f>3.2*(1+'Key Inputs'!$G$2)</f>
        <v>3.6799999999999997</v>
      </c>
      <c r="F91" s="60" t="s">
        <v>39</v>
      </c>
      <c r="G91" s="300" t="s">
        <v>273</v>
      </c>
      <c r="I91" s="304"/>
      <c r="J91" s="304"/>
      <c r="K91" s="304"/>
    </row>
    <row r="92" spans="2:11" s="16" customFormat="1">
      <c r="B92" s="58"/>
      <c r="C92" s="64"/>
      <c r="D92" s="65"/>
      <c r="E92" s="50"/>
      <c r="F92" s="60"/>
      <c r="G92" s="300"/>
      <c r="I92" s="304"/>
      <c r="J92" s="304"/>
      <c r="K92" s="304"/>
    </row>
    <row r="93" spans="2:11" s="16" customFormat="1">
      <c r="B93" s="58" t="s">
        <v>86</v>
      </c>
      <c r="C93" s="64"/>
      <c r="D93" s="65"/>
      <c r="E93" s="50"/>
      <c r="F93" s="60"/>
      <c r="G93" s="300"/>
      <c r="I93" s="304"/>
      <c r="J93" s="304"/>
      <c r="K93" s="304"/>
    </row>
    <row r="94" spans="2:11" s="16" customFormat="1" hidden="1">
      <c r="B94" s="61" t="s">
        <v>87</v>
      </c>
      <c r="C94" s="62">
        <f t="shared" ref="C94:C103" si="14">D94/$C$12*2000</f>
        <v>6.9052511415525106E-6</v>
      </c>
      <c r="D94" s="63">
        <f>E94*$C$15/2000</f>
        <v>3.0244999999999999E-5</v>
      </c>
      <c r="E94" s="326">
        <f>0.0002*(1+'Key Inputs'!$G$2)</f>
        <v>2.2999999999999998E-4</v>
      </c>
      <c r="F94" s="46" t="s">
        <v>39</v>
      </c>
      <c r="G94" s="300" t="s">
        <v>127</v>
      </c>
      <c r="I94" s="304"/>
      <c r="J94" s="304"/>
      <c r="K94" s="304"/>
    </row>
    <row r="95" spans="2:11" s="16" customFormat="1" hidden="1">
      <c r="B95" s="61" t="s">
        <v>88</v>
      </c>
      <c r="C95" s="62">
        <f t="shared" si="14"/>
        <v>1.5191552511415525E-4</v>
      </c>
      <c r="D95" s="63">
        <f t="shared" ref="D95:D103" si="15">E95*$C$15/2000</f>
        <v>6.6539000000000008E-4</v>
      </c>
      <c r="E95" s="326">
        <f>0.0044*(1+'Key Inputs'!$G$2)</f>
        <v>5.0600000000000003E-3</v>
      </c>
      <c r="F95" s="46" t="s">
        <v>39</v>
      </c>
      <c r="G95" s="300" t="s">
        <v>127</v>
      </c>
      <c r="I95" s="304"/>
      <c r="J95" s="304"/>
      <c r="K95" s="304"/>
    </row>
    <row r="96" spans="2:11" s="16" customFormat="1" hidden="1">
      <c r="B96" s="61" t="s">
        <v>11</v>
      </c>
      <c r="C96" s="62">
        <f t="shared" si="14"/>
        <v>3.7978881278538814E-5</v>
      </c>
      <c r="D96" s="63">
        <f t="shared" si="15"/>
        <v>1.6634750000000002E-4</v>
      </c>
      <c r="E96" s="326">
        <f>0.0011*(1+'Key Inputs'!$G$2)</f>
        <v>1.2650000000000001E-3</v>
      </c>
      <c r="F96" s="46" t="s">
        <v>39</v>
      </c>
      <c r="G96" s="300" t="s">
        <v>127</v>
      </c>
      <c r="I96" s="304"/>
      <c r="J96" s="304"/>
      <c r="K96" s="304"/>
    </row>
    <row r="97" spans="2:11" s="16" customFormat="1" hidden="1">
      <c r="B97" s="61" t="s">
        <v>89</v>
      </c>
      <c r="C97" s="62">
        <f t="shared" si="14"/>
        <v>4.8336757990867575E-5</v>
      </c>
      <c r="D97" s="63">
        <f t="shared" si="15"/>
        <v>2.1171499999999999E-4</v>
      </c>
      <c r="E97" s="326">
        <f>0.0014*(1+'Key Inputs'!$G$2)</f>
        <v>1.6099999999999999E-3</v>
      </c>
      <c r="F97" s="46" t="s">
        <v>39</v>
      </c>
      <c r="G97" s="300" t="s">
        <v>127</v>
      </c>
      <c r="I97" s="304"/>
      <c r="J97" s="304"/>
      <c r="K97" s="304"/>
    </row>
    <row r="98" spans="2:11" s="16" customFormat="1" hidden="1">
      <c r="B98" s="61" t="s">
        <v>90</v>
      </c>
      <c r="C98" s="62">
        <f t="shared" si="14"/>
        <v>2.9002054794520546E-6</v>
      </c>
      <c r="D98" s="63">
        <f t="shared" si="15"/>
        <v>1.2702899999999998E-5</v>
      </c>
      <c r="E98" s="326">
        <f>0.000084*(1+'Key Inputs'!$G$2)</f>
        <v>9.659999999999999E-5</v>
      </c>
      <c r="F98" s="46" t="s">
        <v>39</v>
      </c>
      <c r="G98" s="300" t="s">
        <v>127</v>
      </c>
      <c r="I98" s="304"/>
      <c r="J98" s="304"/>
      <c r="K98" s="304"/>
    </row>
    <row r="99" spans="2:11" s="16" customFormat="1">
      <c r="B99" s="61" t="s">
        <v>91</v>
      </c>
      <c r="C99" s="62">
        <f t="shared" si="14"/>
        <v>1.7263127853881278E-5</v>
      </c>
      <c r="D99" s="63">
        <f t="shared" si="15"/>
        <v>7.5612500000000002E-5</v>
      </c>
      <c r="E99" s="326">
        <f>0.0005*(1+'Key Inputs'!$G$2)</f>
        <v>5.7499999999999999E-4</v>
      </c>
      <c r="F99" s="46" t="s">
        <v>39</v>
      </c>
      <c r="G99" s="300" t="s">
        <v>126</v>
      </c>
      <c r="I99" s="304"/>
      <c r="J99" s="304"/>
      <c r="K99" s="304"/>
    </row>
    <row r="100" spans="2:11" s="16" customFormat="1" hidden="1">
      <c r="B100" s="61" t="s">
        <v>7</v>
      </c>
      <c r="C100" s="62">
        <f t="shared" si="14"/>
        <v>1.3119977168949773E-5</v>
      </c>
      <c r="D100" s="63">
        <f t="shared" si="15"/>
        <v>5.7465500000000001E-5</v>
      </c>
      <c r="E100" s="326">
        <f>0.00038*(1+'Key Inputs'!$G$2)</f>
        <v>4.37E-4</v>
      </c>
      <c r="F100" s="46" t="s">
        <v>39</v>
      </c>
      <c r="G100" s="300" t="s">
        <v>127</v>
      </c>
      <c r="I100" s="304"/>
      <c r="J100" s="304"/>
      <c r="K100" s="304"/>
    </row>
    <row r="101" spans="2:11" s="16" customFormat="1">
      <c r="B101" s="61" t="s">
        <v>92</v>
      </c>
      <c r="C101" s="62">
        <f t="shared" si="14"/>
        <v>8.976826484018263E-6</v>
      </c>
      <c r="D101" s="63">
        <f t="shared" si="15"/>
        <v>3.9318499999999993E-5</v>
      </c>
      <c r="E101" s="326">
        <f>0.00026*(1+'Key Inputs'!$G$2)</f>
        <v>2.9899999999999995E-4</v>
      </c>
      <c r="F101" s="46" t="s">
        <v>39</v>
      </c>
      <c r="G101" s="300" t="s">
        <v>127</v>
      </c>
      <c r="I101" s="304"/>
      <c r="J101" s="304"/>
      <c r="K101" s="304"/>
    </row>
    <row r="102" spans="2:11" s="16" customFormat="1" hidden="1">
      <c r="B102" s="66" t="s">
        <v>12</v>
      </c>
      <c r="C102" s="62">
        <f t="shared" si="14"/>
        <v>7.2505136986301356E-5</v>
      </c>
      <c r="D102" s="63">
        <f t="shared" si="15"/>
        <v>3.1757249999999991E-4</v>
      </c>
      <c r="E102" s="327">
        <f>0.0021*(1+'Key Inputs'!$G$2)</f>
        <v>2.4149999999999996E-3</v>
      </c>
      <c r="F102" s="46" t="s">
        <v>39</v>
      </c>
      <c r="G102" s="300" t="s">
        <v>127</v>
      </c>
      <c r="I102" s="304"/>
      <c r="J102" s="304"/>
      <c r="K102" s="304"/>
    </row>
    <row r="103" spans="2:11" s="16" customFormat="1" hidden="1">
      <c r="B103" s="66" t="s">
        <v>93</v>
      </c>
      <c r="C103" s="62">
        <f t="shared" si="14"/>
        <v>8.2863013698630141E-7</v>
      </c>
      <c r="D103" s="63">
        <f t="shared" si="15"/>
        <v>3.6293999999999999E-6</v>
      </c>
      <c r="E103" s="327">
        <f>0.000024*(1+'Key Inputs'!$G$2)</f>
        <v>2.76E-5</v>
      </c>
      <c r="F103" s="46" t="s">
        <v>39</v>
      </c>
      <c r="G103" s="300" t="s">
        <v>127</v>
      </c>
      <c r="I103" s="304"/>
      <c r="J103" s="304"/>
      <c r="K103" s="304"/>
    </row>
    <row r="104" spans="2:11" s="16" customFormat="1">
      <c r="B104" s="66"/>
      <c r="C104" s="67"/>
      <c r="D104" s="68"/>
      <c r="E104" s="69"/>
      <c r="F104" s="46"/>
      <c r="G104" s="300"/>
      <c r="I104" s="304"/>
      <c r="J104" s="304"/>
      <c r="K104" s="304"/>
    </row>
    <row r="105" spans="2:11" s="16" customFormat="1">
      <c r="B105" s="43" t="s">
        <v>44</v>
      </c>
      <c r="C105" s="44"/>
      <c r="D105" s="68"/>
      <c r="E105" s="69"/>
      <c r="F105" s="46"/>
      <c r="G105" s="300"/>
      <c r="I105" s="304"/>
      <c r="J105" s="304"/>
      <c r="K105" s="304"/>
    </row>
    <row r="106" spans="2:11" s="16" customFormat="1" ht="14.25">
      <c r="B106" s="70" t="s">
        <v>150</v>
      </c>
      <c r="C106" s="71">
        <f>D106/$C$12*2000</f>
        <v>3719.196354738277</v>
      </c>
      <c r="D106" s="72">
        <f>E106*'Key Inputs'!$D$43*$C$14/2000</f>
        <v>16290.080033753655</v>
      </c>
      <c r="E106" s="323">
        <f>CONVERT(53.06,"kg","lbm")</f>
        <v>116.97727631529604</v>
      </c>
      <c r="F106" s="52" t="s">
        <v>45</v>
      </c>
      <c r="G106" s="314" t="s">
        <v>256</v>
      </c>
      <c r="I106" s="304"/>
      <c r="J106" s="304"/>
      <c r="K106" s="304"/>
    </row>
    <row r="107" spans="2:11" s="16" customFormat="1" ht="14.25">
      <c r="B107" s="70" t="s">
        <v>151</v>
      </c>
      <c r="C107" s="49">
        <f>D107/$C$12*2000</f>
        <v>7.0094164243088522E-2</v>
      </c>
      <c r="D107" s="72">
        <f>E107*'Key Inputs'!$D$43*$C$14/2000</f>
        <v>0.30701243938472772</v>
      </c>
      <c r="E107" s="324">
        <f>CONVERT(0.001,"kg","lbm")</f>
        <v>2.2046226218487759E-3</v>
      </c>
      <c r="F107" s="52" t="s">
        <v>45</v>
      </c>
      <c r="G107" s="314" t="s">
        <v>94</v>
      </c>
      <c r="I107" s="304"/>
      <c r="J107" s="304"/>
      <c r="K107" s="304"/>
    </row>
    <row r="108" spans="2:11" s="16" customFormat="1" ht="14.25">
      <c r="B108" s="70" t="s">
        <v>152</v>
      </c>
      <c r="C108" s="49">
        <f>D108/$C$12*2000</f>
        <v>7.0094164243088512E-3</v>
      </c>
      <c r="D108" s="72">
        <f>E108*'Key Inputs'!$D$43*$C$14/2000</f>
        <v>3.0701243938472771E-2</v>
      </c>
      <c r="E108" s="325">
        <f>CONVERT(0.0001,"kg","lbm")</f>
        <v>2.2046226218487756E-4</v>
      </c>
      <c r="F108" s="52" t="s">
        <v>45</v>
      </c>
      <c r="G108" s="314" t="s">
        <v>94</v>
      </c>
      <c r="I108" s="304"/>
      <c r="J108" s="304"/>
      <c r="K108" s="304"/>
    </row>
    <row r="109" spans="2:11" s="16" customFormat="1" ht="14.25">
      <c r="B109" s="70" t="s">
        <v>153</v>
      </c>
      <c r="C109" s="71">
        <f>D109/$C$12*2000</f>
        <v>3723.0375149387983</v>
      </c>
      <c r="D109" s="73">
        <f>D106*'Key Inputs'!$C$62+D107*'Key Inputs'!$C$63+D108*'Key Inputs'!$C$64</f>
        <v>16306.904315431937</v>
      </c>
      <c r="E109" s="74" t="s">
        <v>46</v>
      </c>
      <c r="F109" s="75" t="s">
        <v>46</v>
      </c>
      <c r="G109" s="300" t="s">
        <v>47</v>
      </c>
      <c r="I109" s="304"/>
      <c r="J109" s="304"/>
      <c r="K109" s="304"/>
    </row>
    <row r="110" spans="2:11" s="18" customFormat="1" ht="6" customHeight="1" thickBot="1">
      <c r="B110" s="38"/>
      <c r="C110" s="76"/>
      <c r="D110" s="77"/>
      <c r="E110" s="78"/>
      <c r="F110" s="78"/>
      <c r="G110" s="299"/>
      <c r="I110" s="307"/>
      <c r="J110" s="307"/>
      <c r="K110" s="307"/>
    </row>
    <row r="111" spans="2:11" s="18" customFormat="1" ht="6" customHeight="1">
      <c r="D111" s="27"/>
      <c r="E111" s="25"/>
      <c r="F111" s="25"/>
      <c r="G111" s="21"/>
      <c r="I111" s="307"/>
      <c r="J111" s="307"/>
      <c r="K111" s="307"/>
    </row>
    <row r="112" spans="2:11" s="11" customFormat="1" ht="15">
      <c r="B112" s="776" t="s">
        <v>259</v>
      </c>
      <c r="C112" s="316"/>
      <c r="D112" s="316"/>
      <c r="E112" s="317"/>
      <c r="F112" s="316"/>
      <c r="G112" s="318"/>
      <c r="I112" s="306"/>
      <c r="J112" s="306"/>
      <c r="K112" s="306"/>
    </row>
    <row r="113" spans="2:11" s="18" customFormat="1" ht="6" customHeight="1" thickBot="1">
      <c r="D113" s="27"/>
      <c r="E113" s="25"/>
      <c r="F113" s="25"/>
      <c r="G113" s="21"/>
      <c r="I113" s="307"/>
      <c r="J113" s="307"/>
      <c r="K113" s="307"/>
    </row>
    <row r="114" spans="2:11" s="18" customFormat="1" ht="6" customHeight="1">
      <c r="B114" s="28"/>
      <c r="C114" s="29"/>
      <c r="D114" s="30"/>
      <c r="E114" s="31"/>
      <c r="F114" s="31"/>
      <c r="G114" s="298"/>
      <c r="I114" s="307"/>
      <c r="J114" s="307"/>
      <c r="K114" s="307"/>
    </row>
    <row r="115" spans="2:11" s="37" customFormat="1" ht="38.25">
      <c r="B115" s="33" t="s">
        <v>32</v>
      </c>
      <c r="C115" s="34" t="s">
        <v>140</v>
      </c>
      <c r="D115" s="34" t="s">
        <v>141</v>
      </c>
      <c r="E115" s="34" t="s">
        <v>139</v>
      </c>
      <c r="F115" s="34" t="s">
        <v>35</v>
      </c>
      <c r="G115" s="35" t="s">
        <v>36</v>
      </c>
      <c r="I115" s="545"/>
      <c r="J115" s="545"/>
      <c r="K115" s="545"/>
    </row>
    <row r="116" spans="2:11" s="18" customFormat="1" ht="6" customHeight="1" thickBot="1">
      <c r="B116" s="38"/>
      <c r="C116" s="39"/>
      <c r="D116" s="40"/>
      <c r="E116" s="41"/>
      <c r="F116" s="41"/>
      <c r="G116" s="299"/>
      <c r="I116" s="307"/>
      <c r="J116" s="307"/>
      <c r="K116" s="307"/>
    </row>
    <row r="117" spans="2:11" s="18" customFormat="1" ht="6" customHeight="1">
      <c r="B117" s="28"/>
      <c r="C117" s="29"/>
      <c r="D117" s="30"/>
      <c r="E117" s="31"/>
      <c r="F117" s="31"/>
      <c r="G117" s="298"/>
      <c r="I117" s="307"/>
      <c r="J117" s="307"/>
      <c r="K117" s="307"/>
    </row>
    <row r="118" spans="2:11" s="16" customFormat="1">
      <c r="B118" s="43" t="s">
        <v>37</v>
      </c>
      <c r="C118" s="44"/>
      <c r="D118" s="45"/>
      <c r="E118" s="46"/>
      <c r="F118" s="46"/>
      <c r="G118" s="300"/>
      <c r="H118" s="304"/>
      <c r="I118" s="304"/>
      <c r="J118" s="304"/>
      <c r="K118" s="304"/>
    </row>
    <row r="119" spans="2:11" s="160" customFormat="1" ht="15" customHeight="1">
      <c r="B119" s="48" t="s">
        <v>227</v>
      </c>
      <c r="C119" s="49">
        <f t="shared" ref="C119:C120" si="16">D119/$C$12*2000</f>
        <v>3.25</v>
      </c>
      <c r="D119" s="50">
        <f>E119*$C$12/2000</f>
        <v>14.234999999999999</v>
      </c>
      <c r="E119" s="80">
        <v>3.25</v>
      </c>
      <c r="F119" s="52" t="s">
        <v>39</v>
      </c>
      <c r="G119" s="314" t="s">
        <v>744</v>
      </c>
      <c r="H119" s="310"/>
      <c r="I119" s="310"/>
      <c r="J119" s="310"/>
      <c r="K119" s="310"/>
    </row>
    <row r="120" spans="2:11" s="16" customFormat="1" ht="14.25">
      <c r="B120" s="48" t="s">
        <v>149</v>
      </c>
      <c r="C120" s="49">
        <f t="shared" si="16"/>
        <v>0</v>
      </c>
      <c r="D120" s="50">
        <f t="shared" ref="D120" si="17">E120*$C$16/2000</f>
        <v>0</v>
      </c>
      <c r="E120" s="51">
        <f>(35*0.000142857143)*10000*(64/34)</f>
        <v>94.117647152941174</v>
      </c>
      <c r="F120" s="52" t="s">
        <v>39</v>
      </c>
      <c r="G120" s="301" t="s">
        <v>271</v>
      </c>
      <c r="H120" s="304"/>
      <c r="I120" s="304"/>
      <c r="J120" s="304"/>
      <c r="K120" s="304"/>
    </row>
    <row r="121" spans="2:11" s="18" customFormat="1" ht="6" customHeight="1">
      <c r="B121" s="349"/>
      <c r="C121" s="88"/>
      <c r="D121" s="182"/>
      <c r="E121" s="46"/>
      <c r="F121" s="46"/>
      <c r="G121" s="300"/>
      <c r="I121" s="307"/>
      <c r="J121" s="307"/>
      <c r="K121" s="307"/>
    </row>
    <row r="122" spans="2:11" s="16" customFormat="1">
      <c r="B122" s="43" t="s">
        <v>41</v>
      </c>
      <c r="C122" s="44"/>
      <c r="D122" s="54"/>
      <c r="E122" s="56"/>
      <c r="F122" s="57"/>
      <c r="G122" s="300"/>
      <c r="I122" s="304"/>
      <c r="J122" s="304"/>
      <c r="K122" s="304"/>
    </row>
    <row r="123" spans="2:11" s="16" customFormat="1">
      <c r="B123" s="58" t="s">
        <v>42</v>
      </c>
      <c r="C123" s="59"/>
      <c r="D123" s="54"/>
      <c r="E123" s="50"/>
      <c r="F123" s="60"/>
      <c r="G123" s="300"/>
      <c r="I123" s="304"/>
      <c r="J123" s="304"/>
      <c r="K123" s="304"/>
    </row>
    <row r="124" spans="2:11" s="16" customFormat="1">
      <c r="B124" s="61" t="s">
        <v>43</v>
      </c>
      <c r="C124" s="62">
        <f t="shared" ref="C124:C130" si="18">D124/$C$12*2000</f>
        <v>0</v>
      </c>
      <c r="D124" s="63">
        <f>E124*$C$16/2000</f>
        <v>0</v>
      </c>
      <c r="E124" s="326">
        <v>3.0152999999999992E-2</v>
      </c>
      <c r="F124" s="46" t="s">
        <v>39</v>
      </c>
      <c r="G124" s="300" t="s">
        <v>266</v>
      </c>
      <c r="I124" s="304"/>
      <c r="J124" s="304"/>
      <c r="K124" s="304"/>
    </row>
    <row r="125" spans="2:11" s="16" customFormat="1">
      <c r="B125" s="61"/>
      <c r="C125" s="62"/>
      <c r="D125" s="63"/>
      <c r="E125" s="63"/>
      <c r="F125" s="46"/>
      <c r="G125" s="300"/>
      <c r="I125" s="304"/>
      <c r="J125" s="304"/>
      <c r="K125" s="304"/>
    </row>
    <row r="126" spans="2:11" s="16" customFormat="1">
      <c r="B126" s="58" t="s">
        <v>261</v>
      </c>
      <c r="C126" s="62"/>
      <c r="D126" s="63"/>
      <c r="E126" s="63"/>
      <c r="F126" s="46"/>
      <c r="G126" s="300"/>
      <c r="I126" s="304"/>
      <c r="J126" s="304"/>
      <c r="K126" s="304"/>
    </row>
    <row r="127" spans="2:11" s="16" customFormat="1">
      <c r="B127" s="61" t="s">
        <v>267</v>
      </c>
      <c r="C127" s="49">
        <f t="shared" ref="C127" si="19">D127/$C$12*2000</f>
        <v>0</v>
      </c>
      <c r="D127" s="89">
        <f>E127*$C$16/2000</f>
        <v>0</v>
      </c>
      <c r="E127" s="89">
        <v>4.5599999999999996</v>
      </c>
      <c r="F127" s="46" t="s">
        <v>39</v>
      </c>
      <c r="G127" s="300" t="s">
        <v>270</v>
      </c>
      <c r="I127" s="304"/>
      <c r="J127" s="304"/>
      <c r="K127" s="304"/>
    </row>
    <row r="128" spans="2:11" s="16" customFormat="1" ht="14.25">
      <c r="B128" s="61" t="s">
        <v>268</v>
      </c>
      <c r="C128" s="62">
        <f t="shared" si="18"/>
        <v>0</v>
      </c>
      <c r="D128" s="63">
        <f>E128*$C$16/2000</f>
        <v>0</v>
      </c>
      <c r="E128" s="63">
        <v>3.3000000000000002E-2</v>
      </c>
      <c r="F128" s="46" t="s">
        <v>39</v>
      </c>
      <c r="G128" s="300" t="s">
        <v>270</v>
      </c>
      <c r="I128" s="304"/>
      <c r="J128" s="304"/>
      <c r="K128" s="304"/>
    </row>
    <row r="129" spans="2:11" s="16" customFormat="1">
      <c r="B129" s="61" t="s">
        <v>262</v>
      </c>
      <c r="C129" s="62">
        <f t="shared" si="18"/>
        <v>0</v>
      </c>
      <c r="D129" s="63">
        <f t="shared" ref="D129:D130" si="20">E129*$C$16/2000</f>
        <v>0</v>
      </c>
      <c r="E129" s="63">
        <v>6.5000000000000002E-2</v>
      </c>
      <c r="F129" s="46" t="s">
        <v>39</v>
      </c>
      <c r="G129" s="300" t="s">
        <v>270</v>
      </c>
      <c r="I129" s="304"/>
      <c r="J129" s="304"/>
      <c r="K129" s="304"/>
    </row>
    <row r="130" spans="2:11" s="16" customFormat="1" ht="14.25">
      <c r="B130" s="61" t="s">
        <v>269</v>
      </c>
      <c r="C130" s="62">
        <f t="shared" si="18"/>
        <v>0</v>
      </c>
      <c r="D130" s="63">
        <f t="shared" si="20"/>
        <v>0</v>
      </c>
      <c r="E130" s="63">
        <v>0.155</v>
      </c>
      <c r="F130" s="46" t="s">
        <v>39</v>
      </c>
      <c r="G130" s="300" t="s">
        <v>270</v>
      </c>
      <c r="I130" s="304"/>
      <c r="J130" s="304"/>
      <c r="K130" s="304"/>
    </row>
    <row r="131" spans="2:11" s="16" customFormat="1">
      <c r="B131" s="58"/>
      <c r="C131" s="64"/>
      <c r="D131" s="65"/>
      <c r="E131" s="50"/>
      <c r="F131" s="60"/>
      <c r="G131" s="300"/>
      <c r="I131" s="304"/>
      <c r="J131" s="304"/>
      <c r="K131" s="304"/>
    </row>
    <row r="132" spans="2:11" s="16" customFormat="1">
      <c r="B132" s="43" t="s">
        <v>44</v>
      </c>
      <c r="C132" s="44"/>
      <c r="D132" s="68"/>
      <c r="E132" s="69"/>
      <c r="F132" s="46"/>
      <c r="G132" s="300"/>
      <c r="I132" s="304"/>
      <c r="J132" s="304"/>
      <c r="K132" s="304"/>
    </row>
    <row r="133" spans="2:11" s="16" customFormat="1" ht="14.25">
      <c r="B133" s="70" t="s">
        <v>150</v>
      </c>
      <c r="C133" s="71">
        <f>D133/$C$12*2000</f>
        <v>1601.0231882808353</v>
      </c>
      <c r="D133" s="72">
        <f>E133*'Key Inputs'!$D$45*$C$15/2000</f>
        <v>7012.4815646700581</v>
      </c>
      <c r="E133" s="323">
        <f>CONVERT(46.85,"kg","lbm")</f>
        <v>103.28656983361515</v>
      </c>
      <c r="F133" s="52" t="s">
        <v>45</v>
      </c>
      <c r="G133" s="314" t="s">
        <v>280</v>
      </c>
      <c r="I133" s="304"/>
      <c r="J133" s="304"/>
      <c r="K133" s="304"/>
    </row>
    <row r="134" spans="2:11" s="16" customFormat="1" ht="14.25">
      <c r="B134" s="70" t="s">
        <v>151</v>
      </c>
      <c r="C134" s="49">
        <f>D134/$C$12*2000</f>
        <v>1.8863709710373974E-2</v>
      </c>
      <c r="D134" s="72">
        <f>E134*'Key Inputs'!$D$45*$C$15/2000</f>
        <v>8.2623048531438009E-2</v>
      </c>
      <c r="E134" s="324">
        <f>CONVERT(0.00048,"kg","lbm")*(1+'Key Inputs'!$G$2)</f>
        <v>1.2169516872605241E-3</v>
      </c>
      <c r="F134" s="52" t="s">
        <v>45</v>
      </c>
      <c r="G134" s="314" t="s">
        <v>281</v>
      </c>
      <c r="I134" s="304"/>
      <c r="J134" s="304"/>
      <c r="K134" s="304"/>
    </row>
    <row r="135" spans="2:11" s="16" customFormat="1" ht="14.25">
      <c r="B135" s="70" t="s">
        <v>152</v>
      </c>
      <c r="C135" s="49">
        <f>D135/$C$12*2000</f>
        <v>3.9299395229945785E-3</v>
      </c>
      <c r="D135" s="72">
        <f>E135*'Key Inputs'!$D$45*$C$15/2000</f>
        <v>1.7213135110716253E-2</v>
      </c>
      <c r="E135" s="325">
        <f>CONVERT(0.0001,"kg","lbm")*(1+'Key Inputs'!$G$2)</f>
        <v>2.5353160151260918E-4</v>
      </c>
      <c r="F135" s="52" t="s">
        <v>45</v>
      </c>
      <c r="G135" s="314" t="s">
        <v>281</v>
      </c>
      <c r="I135" s="304"/>
      <c r="J135" s="304"/>
      <c r="K135" s="304"/>
    </row>
    <row r="136" spans="2:11" s="16" customFormat="1" ht="14.25">
      <c r="B136" s="70" t="s">
        <v>153</v>
      </c>
      <c r="C136" s="71">
        <f>D136/$C$12*2000</f>
        <v>1602.6659030014466</v>
      </c>
      <c r="D136" s="73">
        <f>D133*'Key Inputs'!$C$62+D134*'Key Inputs'!$C$63+D135*'Key Inputs'!$C$64</f>
        <v>7019.676655146337</v>
      </c>
      <c r="E136" s="74" t="s">
        <v>46</v>
      </c>
      <c r="F136" s="75" t="s">
        <v>46</v>
      </c>
      <c r="G136" s="300" t="s">
        <v>47</v>
      </c>
      <c r="I136" s="304"/>
      <c r="J136" s="304"/>
      <c r="K136" s="304"/>
    </row>
    <row r="137" spans="2:11" s="18" customFormat="1" ht="6" customHeight="1" thickBot="1">
      <c r="B137" s="38"/>
      <c r="C137" s="76"/>
      <c r="D137" s="77"/>
      <c r="E137" s="78"/>
      <c r="F137" s="78"/>
      <c r="G137" s="299"/>
      <c r="I137" s="307"/>
      <c r="J137" s="307"/>
      <c r="K137" s="307"/>
    </row>
    <row r="138" spans="2:11" s="1" customFormat="1" ht="6" customHeight="1">
      <c r="G138" s="2"/>
      <c r="I138" s="304"/>
      <c r="J138" s="304"/>
      <c r="K138" s="304"/>
    </row>
  </sheetData>
  <mergeCells count="2">
    <mergeCell ref="I20:K20"/>
    <mergeCell ref="I56:K56"/>
  </mergeCells>
  <phoneticPr fontId="41" type="noConversion"/>
  <pageMargins left="0.2" right="0.2" top="0.25" bottom="0.25" header="0.05" footer="0.05"/>
  <pageSetup scale="66" orientation="portrait" horizontalDpi="1200" verticalDpi="1200" r:id="rId1"/>
  <rowBreaks count="1" manualBreakCount="1">
    <brk id="52"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47"/>
  <sheetViews>
    <sheetView topLeftCell="A22" zoomScaleNormal="100" zoomScaleSheetLayoutView="100" workbookViewId="0">
      <selection activeCell="E23" sqref="E23"/>
    </sheetView>
  </sheetViews>
  <sheetFormatPr defaultColWidth="8.85546875" defaultRowHeight="12.75"/>
  <cols>
    <col min="1" max="1" width="3" style="91" customWidth="1"/>
    <col min="2" max="2" width="41.85546875" style="90" bestFit="1" customWidth="1"/>
    <col min="3" max="4" width="11.7109375" style="90" customWidth="1"/>
    <col min="5" max="5" width="9.28515625" style="90" bestFit="1" customWidth="1"/>
    <col min="6" max="6" width="10.5703125" style="90" bestFit="1" customWidth="1"/>
    <col min="7" max="7" width="67.42578125" style="90" bestFit="1" customWidth="1"/>
    <col min="8" max="16384" width="8.85546875" style="90"/>
  </cols>
  <sheetData>
    <row r="1" spans="1:7">
      <c r="B1" s="172"/>
      <c r="C1" s="172"/>
      <c r="D1" s="172"/>
      <c r="E1" s="172"/>
      <c r="F1" s="172"/>
      <c r="G1" s="172"/>
    </row>
    <row r="2" spans="1:7" s="6" customFormat="1">
      <c r="A2" s="8"/>
      <c r="B2" s="173" t="str">
        <f>'Key Inputs'!B2</f>
        <v>Company Name:</v>
      </c>
      <c r="C2" s="280" t="str">
        <f>'Key Inputs'!C2</f>
        <v>U. S. Steel Corp.</v>
      </c>
      <c r="D2" s="174"/>
      <c r="E2" s="174"/>
      <c r="F2" s="173"/>
      <c r="G2" s="174"/>
    </row>
    <row r="3" spans="1:7" s="6" customFormat="1">
      <c r="A3" s="8"/>
      <c r="B3" s="173" t="str">
        <f>'Key Inputs'!B3</f>
        <v>Site Name:</v>
      </c>
      <c r="C3" s="280" t="str">
        <f>'Key Inputs'!C3</f>
        <v>Edgar Thomson Plant</v>
      </c>
      <c r="D3" s="174"/>
      <c r="E3" s="174"/>
      <c r="F3" s="173"/>
      <c r="G3" s="174"/>
    </row>
    <row r="4" spans="1:7" s="6" customFormat="1">
      <c r="A4" s="8"/>
      <c r="B4" s="173" t="str">
        <f>'Key Inputs'!B4</f>
        <v>Description:</v>
      </c>
      <c r="C4" s="280" t="str">
        <f>'Key Inputs'!C4</f>
        <v>Title V Permit Renewal</v>
      </c>
      <c r="D4" s="174"/>
      <c r="E4" s="174"/>
      <c r="F4" s="173"/>
      <c r="G4" s="174"/>
    </row>
    <row r="5" spans="1:7" s="6" customFormat="1">
      <c r="A5" s="8"/>
      <c r="B5" s="173" t="str">
        <f>'Key Inputs'!B5</f>
        <v>Date:</v>
      </c>
      <c r="C5" s="282" t="str">
        <f>'Key Inputs'!C5</f>
        <v>10/7/2020 - DRAFT</v>
      </c>
      <c r="D5" s="174"/>
      <c r="E5" s="174"/>
      <c r="F5" s="173"/>
      <c r="G5" s="174"/>
    </row>
    <row r="6" spans="1:7" s="6" customFormat="1">
      <c r="A6" s="8"/>
      <c r="B6" s="173"/>
      <c r="C6" s="173"/>
      <c r="D6" s="173"/>
      <c r="E6" s="174"/>
      <c r="F6" s="173"/>
      <c r="G6" s="174"/>
    </row>
    <row r="7" spans="1:7" s="11" customFormat="1">
      <c r="A7" s="13"/>
      <c r="B7" s="175" t="s">
        <v>333</v>
      </c>
      <c r="C7" s="175"/>
      <c r="D7" s="175"/>
      <c r="E7" s="176"/>
      <c r="F7" s="175"/>
      <c r="G7" s="176"/>
    </row>
    <row r="8" spans="1:7" ht="6.75" customHeight="1">
      <c r="B8" s="172"/>
      <c r="C8" s="172"/>
      <c r="D8" s="172"/>
      <c r="E8" s="172"/>
      <c r="F8" s="172"/>
      <c r="G8" s="172"/>
    </row>
    <row r="9" spans="1:7">
      <c r="B9" s="134" t="s">
        <v>25</v>
      </c>
      <c r="C9" s="134" t="s">
        <v>111</v>
      </c>
      <c r="D9" s="133"/>
      <c r="E9" s="133"/>
      <c r="F9" s="172"/>
      <c r="G9" s="172"/>
    </row>
    <row r="10" spans="1:7">
      <c r="B10" s="134" t="s">
        <v>56</v>
      </c>
      <c r="C10" s="135" t="s">
        <v>198</v>
      </c>
      <c r="D10" s="133"/>
      <c r="E10" s="133"/>
      <c r="F10" s="172"/>
      <c r="G10" s="172"/>
    </row>
    <row r="11" spans="1:7">
      <c r="B11" s="134" t="s">
        <v>291</v>
      </c>
      <c r="C11" s="135" t="s">
        <v>334</v>
      </c>
      <c r="D11" s="133"/>
      <c r="E11" s="133"/>
      <c r="F11" s="172"/>
      <c r="G11" s="172"/>
    </row>
    <row r="12" spans="1:7" s="91" customFormat="1">
      <c r="B12" s="136" t="s">
        <v>59</v>
      </c>
      <c r="C12" s="171">
        <f>'Key Inputs'!G21</f>
        <v>8760</v>
      </c>
      <c r="D12" s="138" t="s">
        <v>60</v>
      </c>
      <c r="E12" s="138"/>
      <c r="F12" s="177"/>
      <c r="G12" s="177"/>
    </row>
    <row r="13" spans="1:7" s="91" customFormat="1">
      <c r="B13" s="136" t="s">
        <v>61</v>
      </c>
      <c r="C13" s="138" t="s">
        <v>200</v>
      </c>
      <c r="D13" s="138"/>
      <c r="E13" s="138"/>
      <c r="F13" s="177"/>
      <c r="G13" s="177"/>
    </row>
    <row r="14" spans="1:7" s="91" customFormat="1">
      <c r="B14" s="136" t="s">
        <v>63</v>
      </c>
      <c r="C14" s="138">
        <v>99</v>
      </c>
      <c r="D14" s="138" t="s">
        <v>13</v>
      </c>
      <c r="E14" s="138"/>
      <c r="F14" s="177"/>
      <c r="G14" s="177"/>
    </row>
    <row r="15" spans="1:7" s="91" customFormat="1">
      <c r="B15" s="136" t="s">
        <v>339</v>
      </c>
      <c r="C15" s="171">
        <f>'Key Inputs'!E21</f>
        <v>1200000</v>
      </c>
      <c r="D15" s="138" t="s">
        <v>6</v>
      </c>
      <c r="E15" s="138"/>
      <c r="F15" s="177"/>
      <c r="G15" s="177"/>
    </row>
    <row r="16" spans="1:7" s="91" customFormat="1">
      <c r="B16" s="136" t="s">
        <v>335</v>
      </c>
      <c r="C16" s="171">
        <f>'Key Inputs'!E21/240</f>
        <v>5000</v>
      </c>
      <c r="D16" s="138" t="s">
        <v>336</v>
      </c>
      <c r="E16" s="138"/>
      <c r="F16" s="177"/>
      <c r="G16" s="177"/>
    </row>
    <row r="17" spans="2:11" s="91" customFormat="1" ht="6.75" customHeight="1" thickBot="1">
      <c r="B17" s="19"/>
      <c r="C17" s="178"/>
      <c r="D17" s="21"/>
      <c r="E17" s="177"/>
      <c r="F17" s="177"/>
      <c r="G17" s="177"/>
    </row>
    <row r="18" spans="2:11" s="18" customFormat="1" ht="6" customHeight="1">
      <c r="B18" s="28"/>
      <c r="C18" s="29"/>
      <c r="D18" s="30"/>
      <c r="E18" s="31"/>
      <c r="F18" s="31"/>
      <c r="G18" s="32"/>
      <c r="H18" s="307"/>
    </row>
    <row r="19" spans="2:11" s="37" customFormat="1" ht="45.95" customHeight="1">
      <c r="B19" s="33" t="s">
        <v>32</v>
      </c>
      <c r="C19" s="34" t="s">
        <v>97</v>
      </c>
      <c r="D19" s="34" t="s">
        <v>33</v>
      </c>
      <c r="E19" s="34" t="s">
        <v>34</v>
      </c>
      <c r="F19" s="34" t="s">
        <v>35</v>
      </c>
      <c r="G19" s="35" t="s">
        <v>36</v>
      </c>
      <c r="H19" s="308"/>
    </row>
    <row r="20" spans="2:11" s="18" customFormat="1" ht="6" customHeight="1" thickBot="1">
      <c r="B20" s="38"/>
      <c r="C20" s="39"/>
      <c r="D20" s="40"/>
      <c r="E20" s="41"/>
      <c r="F20" s="41"/>
      <c r="G20" s="42"/>
      <c r="H20" s="307"/>
    </row>
    <row r="21" spans="2:11" s="18" customFormat="1" ht="6" customHeight="1">
      <c r="B21" s="28"/>
      <c r="C21" s="29"/>
      <c r="D21" s="30"/>
      <c r="E21" s="31"/>
      <c r="F21" s="31"/>
      <c r="G21" s="32"/>
      <c r="H21" s="307"/>
    </row>
    <row r="22" spans="2:11" s="16" customFormat="1">
      <c r="B22" s="43" t="s">
        <v>37</v>
      </c>
      <c r="C22" s="44"/>
      <c r="D22" s="45"/>
      <c r="E22" s="46"/>
      <c r="F22" s="46"/>
      <c r="G22" s="47"/>
      <c r="H22" s="304"/>
    </row>
    <row r="23" spans="2:11" s="16" customFormat="1">
      <c r="B23" s="48" t="s">
        <v>228</v>
      </c>
      <c r="C23" s="49">
        <f t="shared" ref="C23:C25" si="0">D23/$C$12*2000</f>
        <v>0.13984018264840184</v>
      </c>
      <c r="D23" s="50">
        <f>E23*$C$16/2000</f>
        <v>0.61250000000000004</v>
      </c>
      <c r="E23" s="163">
        <v>0.245</v>
      </c>
      <c r="F23" s="52" t="s">
        <v>338</v>
      </c>
      <c r="G23" s="301" t="s">
        <v>337</v>
      </c>
      <c r="H23" s="304"/>
    </row>
    <row r="24" spans="2:11" s="16" customFormat="1" ht="14.25">
      <c r="B24" s="48" t="s">
        <v>229</v>
      </c>
      <c r="C24" s="49">
        <f t="shared" si="0"/>
        <v>0.13984018264840184</v>
      </c>
      <c r="D24" s="50">
        <f t="shared" ref="D24:D25" si="1">E24*$C$16/2000</f>
        <v>0.61250000000000004</v>
      </c>
      <c r="E24" s="163">
        <f>E23</f>
        <v>0.245</v>
      </c>
      <c r="F24" s="52" t="s">
        <v>338</v>
      </c>
      <c r="G24" s="302" t="s">
        <v>99</v>
      </c>
      <c r="H24" s="304"/>
    </row>
    <row r="25" spans="2:11" s="16" customFormat="1" ht="14.25">
      <c r="B25" s="48" t="s">
        <v>230</v>
      </c>
      <c r="C25" s="49">
        <f t="shared" si="0"/>
        <v>0.13984018264840184</v>
      </c>
      <c r="D25" s="50">
        <f t="shared" si="1"/>
        <v>0.61250000000000004</v>
      </c>
      <c r="E25" s="163">
        <f>E23</f>
        <v>0.245</v>
      </c>
      <c r="F25" s="52" t="s">
        <v>338</v>
      </c>
      <c r="G25" s="302" t="s">
        <v>99</v>
      </c>
      <c r="H25" s="304"/>
    </row>
    <row r="26" spans="2:11" s="91" customFormat="1">
      <c r="B26" s="48" t="s">
        <v>40</v>
      </c>
      <c r="C26" s="49">
        <f>D26*2000/C12</f>
        <v>0.98526854420014531</v>
      </c>
      <c r="D26" s="89">
        <f>E26*C15/2000</f>
        <v>4.3154762235966366</v>
      </c>
      <c r="E26" s="163">
        <f>0.719246037266106*(100-C14)%</f>
        <v>7.1924603726610603E-3</v>
      </c>
      <c r="F26" s="52" t="s">
        <v>96</v>
      </c>
      <c r="G26" s="314" t="s">
        <v>340</v>
      </c>
      <c r="H26" s="304"/>
    </row>
    <row r="27" spans="2:11" s="91" customFormat="1">
      <c r="B27" s="48"/>
      <c r="C27" s="49"/>
      <c r="D27" s="50"/>
      <c r="E27" s="51"/>
      <c r="F27" s="52"/>
      <c r="G27" s="314"/>
      <c r="H27" s="191"/>
    </row>
    <row r="28" spans="2:11" s="16" customFormat="1">
      <c r="B28" s="43" t="s">
        <v>41</v>
      </c>
      <c r="C28" s="49"/>
      <c r="D28" s="50"/>
      <c r="E28" s="80"/>
      <c r="F28" s="52"/>
      <c r="G28" s="301"/>
      <c r="I28" s="304"/>
      <c r="J28" s="304"/>
      <c r="K28" s="304"/>
    </row>
    <row r="29" spans="2:11" s="16" customFormat="1">
      <c r="B29" s="58" t="s">
        <v>86</v>
      </c>
      <c r="C29" s="49"/>
      <c r="D29" s="50"/>
      <c r="E29" s="80"/>
      <c r="F29" s="52"/>
      <c r="G29" s="301"/>
      <c r="I29" s="304"/>
      <c r="J29" s="304"/>
      <c r="K29" s="304"/>
    </row>
    <row r="30" spans="2:11" s="16" customFormat="1">
      <c r="B30" s="48" t="s">
        <v>234</v>
      </c>
      <c r="C30" s="62">
        <f>$C$23*E30%</f>
        <v>1.3984018264840184E-6</v>
      </c>
      <c r="D30" s="62">
        <f>$D$23*E30%</f>
        <v>6.1250000000000006E-6</v>
      </c>
      <c r="E30" s="82">
        <v>1E-3</v>
      </c>
      <c r="F30" s="52" t="s">
        <v>245</v>
      </c>
      <c r="G30" s="301" t="s">
        <v>330</v>
      </c>
      <c r="I30" s="304"/>
      <c r="J30" s="304"/>
      <c r="K30" s="304"/>
    </row>
    <row r="31" spans="2:11" s="16" customFormat="1">
      <c r="B31" s="48" t="s">
        <v>235</v>
      </c>
      <c r="C31" s="62">
        <f t="shared" ref="C31:C41" si="2">$C$23*E31%</f>
        <v>6.9920091324200914E-8</v>
      </c>
      <c r="D31" s="62">
        <f t="shared" ref="D31:D41" si="3">$D$23*E31%</f>
        <v>3.0625000000000003E-7</v>
      </c>
      <c r="E31" s="82">
        <v>5.0000000000000002E-5</v>
      </c>
      <c r="F31" s="52" t="s">
        <v>245</v>
      </c>
      <c r="G31" s="301" t="s">
        <v>330</v>
      </c>
      <c r="I31" s="304"/>
      <c r="J31" s="304"/>
      <c r="K31" s="304"/>
    </row>
    <row r="32" spans="2:11" s="16" customFormat="1">
      <c r="B32" s="48" t="s">
        <v>236</v>
      </c>
      <c r="C32" s="62">
        <f t="shared" si="2"/>
        <v>1.3984018264840183E-7</v>
      </c>
      <c r="D32" s="62">
        <f t="shared" si="3"/>
        <v>6.1250000000000006E-7</v>
      </c>
      <c r="E32" s="82">
        <v>1E-4</v>
      </c>
      <c r="F32" s="52" t="s">
        <v>245</v>
      </c>
      <c r="G32" s="301" t="s">
        <v>330</v>
      </c>
      <c r="I32" s="304"/>
      <c r="J32" s="304"/>
      <c r="K32" s="304"/>
    </row>
    <row r="33" spans="2:18" s="16" customFormat="1">
      <c r="B33" s="48" t="s">
        <v>237</v>
      </c>
      <c r="C33" s="62">
        <f t="shared" si="2"/>
        <v>1.6389269406392693E-6</v>
      </c>
      <c r="D33" s="62">
        <f t="shared" si="3"/>
        <v>7.1784999999999991E-6</v>
      </c>
      <c r="E33" s="82">
        <v>1.1719999999999999E-3</v>
      </c>
      <c r="F33" s="52" t="s">
        <v>245</v>
      </c>
      <c r="G33" s="301" t="s">
        <v>330</v>
      </c>
      <c r="I33" s="304"/>
      <c r="J33" s="304"/>
      <c r="K33" s="304"/>
    </row>
    <row r="34" spans="2:18" s="16" customFormat="1">
      <c r="B34" s="48" t="s">
        <v>238</v>
      </c>
      <c r="C34" s="62">
        <f t="shared" si="2"/>
        <v>2.0626426940639267E-5</v>
      </c>
      <c r="D34" s="62">
        <f t="shared" si="3"/>
        <v>9.0343749999999997E-5</v>
      </c>
      <c r="E34" s="82">
        <v>1.4749999999999999E-2</v>
      </c>
      <c r="F34" s="52" t="s">
        <v>245</v>
      </c>
      <c r="G34" s="301" t="s">
        <v>330</v>
      </c>
      <c r="I34" s="304"/>
      <c r="J34" s="304"/>
      <c r="K34" s="304"/>
    </row>
    <row r="35" spans="2:18" s="16" customFormat="1">
      <c r="B35" s="48" t="s">
        <v>239</v>
      </c>
      <c r="C35" s="62">
        <f t="shared" si="2"/>
        <v>3.2163242009132423E-6</v>
      </c>
      <c r="D35" s="62">
        <f t="shared" si="3"/>
        <v>1.40875E-5</v>
      </c>
      <c r="E35" s="82">
        <v>2.3E-3</v>
      </c>
      <c r="F35" s="52" t="s">
        <v>245</v>
      </c>
      <c r="G35" s="301" t="s">
        <v>330</v>
      </c>
      <c r="I35" s="304"/>
      <c r="J35" s="304"/>
      <c r="K35" s="304"/>
    </row>
    <row r="36" spans="2:18" s="16" customFormat="1">
      <c r="B36" s="48" t="s">
        <v>91</v>
      </c>
      <c r="C36" s="62">
        <f t="shared" si="2"/>
        <v>1.3214897260273973E-4</v>
      </c>
      <c r="D36" s="62">
        <f t="shared" si="3"/>
        <v>5.7881250000000001E-4</v>
      </c>
      <c r="E36" s="82">
        <v>9.4500000000000001E-2</v>
      </c>
      <c r="F36" s="52" t="s">
        <v>245</v>
      </c>
      <c r="G36" s="301" t="s">
        <v>330</v>
      </c>
      <c r="I36" s="304"/>
      <c r="J36" s="304"/>
      <c r="K36" s="304"/>
    </row>
    <row r="37" spans="2:18" s="16" customFormat="1">
      <c r="B37" s="48" t="s">
        <v>240</v>
      </c>
      <c r="C37" s="62">
        <f t="shared" si="2"/>
        <v>1.7829623287671232E-3</v>
      </c>
      <c r="D37" s="62">
        <f t="shared" si="3"/>
        <v>7.8093750000000003E-3</v>
      </c>
      <c r="E37" s="82">
        <v>1.2749999999999999</v>
      </c>
      <c r="F37" s="52" t="s">
        <v>245</v>
      </c>
      <c r="G37" s="301" t="s">
        <v>330</v>
      </c>
      <c r="I37" s="304"/>
      <c r="J37" s="304"/>
      <c r="K37" s="304"/>
    </row>
    <row r="38" spans="2:18" s="16" customFormat="1">
      <c r="B38" s="48" t="s">
        <v>241</v>
      </c>
      <c r="C38" s="62">
        <f t="shared" si="2"/>
        <v>1.9577625570776258E-9</v>
      </c>
      <c r="D38" s="62">
        <f t="shared" si="3"/>
        <v>8.5750000000000007E-9</v>
      </c>
      <c r="E38" s="82">
        <v>1.3999999999999999E-6</v>
      </c>
      <c r="F38" s="52" t="s">
        <v>245</v>
      </c>
      <c r="G38" s="301" t="s">
        <v>330</v>
      </c>
      <c r="I38" s="304"/>
      <c r="J38" s="304"/>
      <c r="K38" s="304"/>
    </row>
    <row r="39" spans="2:18" s="16" customFormat="1">
      <c r="B39" s="48" t="s">
        <v>242</v>
      </c>
      <c r="C39" s="62">
        <f t="shared" si="2"/>
        <v>1.6780821917808223E-5</v>
      </c>
      <c r="D39" s="62">
        <f t="shared" si="3"/>
        <v>7.3500000000000011E-5</v>
      </c>
      <c r="E39" s="82">
        <v>1.2E-2</v>
      </c>
      <c r="F39" s="52" t="s">
        <v>245</v>
      </c>
      <c r="G39" s="301" t="s">
        <v>330</v>
      </c>
      <c r="I39" s="304"/>
      <c r="J39" s="304"/>
      <c r="K39" s="304"/>
    </row>
    <row r="40" spans="2:18" s="16" customFormat="1">
      <c r="B40" s="48" t="s">
        <v>243</v>
      </c>
      <c r="C40" s="62">
        <f t="shared" si="2"/>
        <v>4.8105022831050228E-7</v>
      </c>
      <c r="D40" s="62">
        <f t="shared" si="3"/>
        <v>2.1069999999999999E-6</v>
      </c>
      <c r="E40" s="82">
        <v>3.4399999999999996E-4</v>
      </c>
      <c r="F40" s="52" t="s">
        <v>245</v>
      </c>
      <c r="G40" s="301" t="s">
        <v>330</v>
      </c>
      <c r="I40" s="304"/>
      <c r="J40" s="304"/>
      <c r="K40" s="304"/>
    </row>
    <row r="41" spans="2:18" s="16" customFormat="1">
      <c r="B41" s="48" t="s">
        <v>244</v>
      </c>
      <c r="C41" s="62">
        <f t="shared" si="2"/>
        <v>2.3702910958904113E-5</v>
      </c>
      <c r="D41" s="62">
        <f t="shared" si="3"/>
        <v>1.0381875000000001E-4</v>
      </c>
      <c r="E41" s="82">
        <v>1.695E-2</v>
      </c>
      <c r="F41" s="52" t="s">
        <v>245</v>
      </c>
      <c r="G41" s="301" t="s">
        <v>330</v>
      </c>
      <c r="I41" s="304"/>
      <c r="J41" s="304"/>
      <c r="K41" s="304"/>
    </row>
    <row r="42" spans="2:18" s="16" customFormat="1">
      <c r="B42" s="48"/>
      <c r="C42" s="62"/>
      <c r="D42" s="62"/>
      <c r="E42" s="82"/>
      <c r="F42" s="52"/>
      <c r="G42" s="301"/>
      <c r="I42" s="304"/>
      <c r="J42" s="304"/>
      <c r="K42" s="304"/>
    </row>
    <row r="43" spans="2:18" s="16" customFormat="1">
      <c r="B43" s="43" t="s">
        <v>44</v>
      </c>
      <c r="C43" s="44"/>
      <c r="D43" s="68"/>
      <c r="E43" s="69"/>
      <c r="F43" s="46"/>
      <c r="G43" s="300"/>
      <c r="I43" s="304"/>
      <c r="J43" s="304"/>
      <c r="K43" s="304"/>
    </row>
    <row r="44" spans="2:18" s="16" customFormat="1" ht="14.25" customHeight="1">
      <c r="B44" s="70" t="s">
        <v>150</v>
      </c>
      <c r="C44" s="71">
        <f>D44/$C$12*2000</f>
        <v>1289.193302891784</v>
      </c>
      <c r="D44" s="72">
        <f>E44*C15</f>
        <v>5646.666666666013</v>
      </c>
      <c r="E44" s="587">
        <f>SUM('ET GHG EFs'!W39:W40)</f>
        <v>4.705555555555011E-3</v>
      </c>
      <c r="F44" s="52" t="s">
        <v>737</v>
      </c>
      <c r="G44" s="314"/>
      <c r="H44" s="800" t="s">
        <v>806</v>
      </c>
      <c r="I44" s="801"/>
      <c r="J44" s="801"/>
      <c r="K44" s="801"/>
      <c r="L44" s="801"/>
      <c r="M44" s="801"/>
      <c r="N44" s="801"/>
      <c r="O44" s="801"/>
      <c r="P44" s="801"/>
      <c r="Q44" s="801"/>
      <c r="R44" s="801"/>
    </row>
    <row r="45" spans="2:18" s="16" customFormat="1" ht="14.25" customHeight="1">
      <c r="B45" s="70" t="s">
        <v>151</v>
      </c>
      <c r="C45" s="49">
        <v>0</v>
      </c>
      <c r="D45" s="72">
        <v>0</v>
      </c>
      <c r="E45" s="647" t="s">
        <v>21</v>
      </c>
      <c r="F45" s="578" t="s">
        <v>21</v>
      </c>
      <c r="G45" s="314" t="s">
        <v>734</v>
      </c>
      <c r="H45" s="800"/>
      <c r="I45" s="801"/>
      <c r="J45" s="801"/>
      <c r="K45" s="801"/>
      <c r="L45" s="801"/>
      <c r="M45" s="801"/>
      <c r="N45" s="801"/>
      <c r="O45" s="801"/>
      <c r="P45" s="801"/>
      <c r="Q45" s="801"/>
      <c r="R45" s="801"/>
    </row>
    <row r="46" spans="2:18" s="16" customFormat="1" ht="14.25" customHeight="1">
      <c r="B46" s="70" t="s">
        <v>152</v>
      </c>
      <c r="C46" s="49">
        <v>0</v>
      </c>
      <c r="D46" s="72">
        <v>0</v>
      </c>
      <c r="E46" s="647" t="s">
        <v>21</v>
      </c>
      <c r="F46" s="578" t="s">
        <v>21</v>
      </c>
      <c r="G46" s="314" t="s">
        <v>735</v>
      </c>
      <c r="H46" s="774"/>
      <c r="I46" s="773"/>
      <c r="J46" s="773"/>
      <c r="K46" s="773"/>
      <c r="L46" s="773"/>
      <c r="M46" s="773"/>
      <c r="N46" s="773"/>
      <c r="O46" s="773"/>
      <c r="P46" s="773"/>
      <c r="Q46" s="773"/>
      <c r="R46" s="773"/>
    </row>
    <row r="47" spans="2:18" s="16" customFormat="1" ht="15" customHeight="1" thickBot="1">
      <c r="B47" s="581" t="s">
        <v>153</v>
      </c>
      <c r="C47" s="582">
        <f>D47/$C$12*2000</f>
        <v>1289.193302891784</v>
      </c>
      <c r="D47" s="583">
        <f>D44*'Key Inputs'!$C$62+D45*'Key Inputs'!$C$63+D46*'Key Inputs'!$C$64</f>
        <v>5646.666666666013</v>
      </c>
      <c r="E47" s="584" t="s">
        <v>46</v>
      </c>
      <c r="F47" s="585" t="s">
        <v>46</v>
      </c>
      <c r="G47" s="299" t="s">
        <v>47</v>
      </c>
      <c r="H47" s="774"/>
      <c r="I47" s="773"/>
      <c r="J47" s="773"/>
      <c r="K47" s="773"/>
      <c r="L47" s="773"/>
      <c r="M47" s="773"/>
      <c r="N47" s="773"/>
      <c r="O47" s="773"/>
      <c r="P47" s="773"/>
      <c r="Q47" s="773"/>
      <c r="R47" s="773"/>
    </row>
  </sheetData>
  <mergeCells count="1">
    <mergeCell ref="H44:R45"/>
  </mergeCells>
  <pageMargins left="0.2" right="0.2" top="0.25" bottom="0.25" header="0.05" footer="0.05"/>
  <pageSetup scale="65"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14C57-88F3-4911-987D-BDF776DF9B6E}">
  <dimension ref="B1:L170"/>
  <sheetViews>
    <sheetView topLeftCell="A161" zoomScale="120" zoomScaleNormal="120" zoomScaleSheetLayoutView="100" workbookViewId="0">
      <selection activeCell="B115" sqref="B115:G170"/>
    </sheetView>
  </sheetViews>
  <sheetFormatPr defaultColWidth="9.140625" defaultRowHeight="12.75"/>
  <cols>
    <col min="1" max="1" width="2.42578125" style="1" customWidth="1"/>
    <col min="2" max="2" width="39.85546875" style="1" customWidth="1"/>
    <col min="3" max="4" width="11.7109375" style="1" customWidth="1"/>
    <col min="5" max="5" width="9.85546875" style="1" customWidth="1"/>
    <col min="6" max="6" width="10.28515625" style="1" bestFit="1" customWidth="1"/>
    <col min="7" max="7" width="66.42578125" style="2" customWidth="1"/>
    <col min="8" max="8" width="10.42578125" style="304" bestFit="1" customWidth="1"/>
    <col min="9" max="11" width="9.140625" style="304"/>
    <col min="12" max="16384" width="9.140625" style="1"/>
  </cols>
  <sheetData>
    <row r="1" spans="2:11" ht="11.25" customHeight="1"/>
    <row r="2" spans="2:11" s="6" customFormat="1">
      <c r="B2" s="5" t="str">
        <f>'Key Inputs'!B2</f>
        <v>Company Name:</v>
      </c>
      <c r="C2" s="279" t="str">
        <f>'Key Inputs'!C2</f>
        <v>U. S. Steel Corp.</v>
      </c>
      <c r="F2" s="5"/>
      <c r="G2" s="7"/>
      <c r="H2" s="305"/>
      <c r="I2" s="305"/>
      <c r="J2" s="305"/>
      <c r="K2" s="305"/>
    </row>
    <row r="3" spans="2:11" s="6" customFormat="1">
      <c r="B3" s="5" t="str">
        <f>'Key Inputs'!B3</f>
        <v>Site Name:</v>
      </c>
      <c r="C3" s="279" t="str">
        <f>'Key Inputs'!C3</f>
        <v>Edgar Thomson Plant</v>
      </c>
      <c r="F3" s="5"/>
      <c r="G3" s="7"/>
      <c r="H3" s="305"/>
      <c r="I3" s="305"/>
      <c r="J3" s="305"/>
      <c r="K3" s="305"/>
    </row>
    <row r="4" spans="2:11" s="6" customFormat="1">
      <c r="B4" s="5" t="str">
        <f>'Key Inputs'!B4</f>
        <v>Description:</v>
      </c>
      <c r="C4" s="279" t="str">
        <f>'Key Inputs'!C4</f>
        <v>Title V Permit Renewal</v>
      </c>
      <c r="F4" s="5"/>
      <c r="G4" s="7"/>
      <c r="H4" s="305"/>
      <c r="I4" s="305"/>
      <c r="J4" s="305"/>
      <c r="K4" s="305"/>
    </row>
    <row r="5" spans="2:11" s="6" customFormat="1">
      <c r="B5" s="5" t="str">
        <f>'Key Inputs'!B5</f>
        <v>Date:</v>
      </c>
      <c r="C5" s="281" t="str">
        <f>'Key Inputs'!C5</f>
        <v>10/7/2020 - DRAFT</v>
      </c>
      <c r="F5" s="5"/>
      <c r="G5" s="7"/>
      <c r="H5" s="305"/>
      <c r="I5" s="305"/>
      <c r="J5" s="305"/>
      <c r="K5" s="305"/>
    </row>
    <row r="6" spans="2:11" s="6" customFormat="1">
      <c r="B6" s="5"/>
      <c r="C6" s="5"/>
      <c r="D6" s="5"/>
      <c r="F6" s="5"/>
      <c r="G6" s="7"/>
      <c r="H6" s="305"/>
      <c r="I6" s="305"/>
      <c r="J6" s="305"/>
      <c r="K6" s="305"/>
    </row>
    <row r="7" spans="2:11" s="11" customFormat="1">
      <c r="B7" s="10" t="s">
        <v>342</v>
      </c>
      <c r="C7" s="10"/>
      <c r="D7" s="10"/>
      <c r="F7" s="10"/>
      <c r="G7" s="12"/>
      <c r="H7" s="306"/>
      <c r="I7" s="306"/>
      <c r="J7" s="306"/>
      <c r="K7" s="306"/>
    </row>
    <row r="8" spans="2:11" s="16" customFormat="1">
      <c r="B8" s="14"/>
      <c r="C8" s="15"/>
      <c r="G8" s="17"/>
      <c r="H8" s="304"/>
      <c r="I8" s="304"/>
      <c r="J8" s="304"/>
      <c r="K8" s="304"/>
    </row>
    <row r="9" spans="2:11" s="18" customFormat="1">
      <c r="B9" s="19" t="s">
        <v>25</v>
      </c>
      <c r="C9" s="20" t="s">
        <v>343</v>
      </c>
      <c r="D9" s="19"/>
      <c r="G9" s="21"/>
      <c r="H9" s="307"/>
      <c r="I9" s="307"/>
      <c r="J9" s="307"/>
      <c r="K9" s="307"/>
    </row>
    <row r="10" spans="2:11" s="18" customFormat="1">
      <c r="B10" s="19" t="s">
        <v>56</v>
      </c>
      <c r="C10" s="23" t="s">
        <v>344</v>
      </c>
      <c r="D10" s="19"/>
      <c r="G10" s="21"/>
      <c r="H10" s="307"/>
      <c r="I10" s="307"/>
      <c r="J10" s="307"/>
      <c r="K10" s="307"/>
    </row>
    <row r="11" spans="2:11" s="18" customFormat="1">
      <c r="B11" s="19" t="s">
        <v>291</v>
      </c>
      <c r="C11" s="23" t="s">
        <v>345</v>
      </c>
      <c r="D11" s="19"/>
      <c r="G11" s="21"/>
      <c r="H11" s="307"/>
      <c r="I11" s="307"/>
      <c r="J11" s="307"/>
      <c r="K11" s="307"/>
    </row>
    <row r="12" spans="2:11" s="18" customFormat="1">
      <c r="B12" s="19" t="s">
        <v>26</v>
      </c>
      <c r="C12" s="24">
        <f>'Key Inputs'!$G$20</f>
        <v>8760</v>
      </c>
      <c r="D12" s="21" t="s">
        <v>10</v>
      </c>
      <c r="E12" s="348" t="s">
        <v>346</v>
      </c>
      <c r="G12" s="20"/>
      <c r="H12" s="307"/>
      <c r="I12" s="307"/>
      <c r="J12" s="307"/>
      <c r="K12" s="307"/>
    </row>
    <row r="13" spans="2:11" s="18" customFormat="1">
      <c r="B13" s="19" t="s">
        <v>14</v>
      </c>
      <c r="C13" s="79" t="s">
        <v>27</v>
      </c>
      <c r="D13" s="21"/>
      <c r="E13" s="348"/>
      <c r="G13" s="20"/>
      <c r="H13" s="307"/>
      <c r="I13" s="307"/>
      <c r="J13" s="307"/>
      <c r="K13" s="307"/>
    </row>
    <row r="14" spans="2:11" s="18" customFormat="1">
      <c r="B14" s="19" t="s">
        <v>277</v>
      </c>
      <c r="C14" s="79">
        <v>525</v>
      </c>
      <c r="D14" s="21" t="s">
        <v>100</v>
      </c>
      <c r="E14" s="348" t="s">
        <v>346</v>
      </c>
      <c r="G14" s="20"/>
      <c r="H14" s="307" t="s">
        <v>341</v>
      </c>
      <c r="I14" s="307"/>
      <c r="J14" s="307"/>
      <c r="K14" s="307"/>
    </row>
    <row r="15" spans="2:11" s="18" customFormat="1">
      <c r="B15" s="19" t="s">
        <v>252</v>
      </c>
      <c r="C15" s="184">
        <f>$C$14*3*$C$12/'Key Inputs'!$D$43*78.4%</f>
        <v>10214.209631728047</v>
      </c>
      <c r="D15" s="21" t="s">
        <v>31</v>
      </c>
      <c r="E15" s="348" t="s">
        <v>347</v>
      </c>
      <c r="G15" s="20"/>
      <c r="H15" s="723">
        <f>C15/3</f>
        <v>3404.7365439093487</v>
      </c>
      <c r="I15" s="307"/>
      <c r="J15" s="307"/>
      <c r="K15" s="307"/>
    </row>
    <row r="16" spans="2:11" s="18" customFormat="1">
      <c r="B16" s="19" t="s">
        <v>253</v>
      </c>
      <c r="C16" s="184">
        <f>$C$14*3*$C$12/'Key Inputs'!D45</f>
        <v>26722.835560720512</v>
      </c>
      <c r="D16" s="21" t="s">
        <v>31</v>
      </c>
      <c r="E16" s="348" t="s">
        <v>347</v>
      </c>
      <c r="G16" s="20"/>
      <c r="H16" s="723">
        <f t="shared" ref="H16:H17" si="0">C16/3</f>
        <v>8907.611853573504</v>
      </c>
      <c r="I16" s="307"/>
      <c r="J16" s="307"/>
      <c r="K16" s="307"/>
    </row>
    <row r="17" spans="2:12" s="18" customFormat="1">
      <c r="B17" s="19" t="s">
        <v>276</v>
      </c>
      <c r="C17" s="184">
        <f>$C$14*3*$C$12/'Key Inputs'!D44</f>
        <v>153300</v>
      </c>
      <c r="D17" s="21" t="s">
        <v>31</v>
      </c>
      <c r="E17" s="348" t="s">
        <v>347</v>
      </c>
      <c r="G17" s="20"/>
      <c r="H17" s="723">
        <f t="shared" si="0"/>
        <v>51100</v>
      </c>
      <c r="I17" s="307"/>
      <c r="J17" s="307"/>
      <c r="K17" s="307"/>
    </row>
    <row r="18" spans="2:12" s="18" customFormat="1">
      <c r="B18" s="19"/>
      <c r="C18" s="184"/>
      <c r="D18" s="21"/>
      <c r="G18" s="20"/>
      <c r="H18" s="307"/>
      <c r="I18" s="307"/>
      <c r="J18" s="307"/>
      <c r="K18" s="307"/>
    </row>
    <row r="19" spans="2:12" s="11" customFormat="1" ht="15">
      <c r="B19" s="775" t="s">
        <v>653</v>
      </c>
      <c r="C19" s="329"/>
      <c r="D19" s="329"/>
      <c r="E19" s="330"/>
      <c r="F19" s="329"/>
      <c r="G19" s="331"/>
      <c r="I19" s="306"/>
      <c r="J19" s="306"/>
      <c r="K19" s="306"/>
    </row>
    <row r="20" spans="2:12" s="18" customFormat="1" ht="6" customHeight="1" thickBot="1">
      <c r="D20" s="27"/>
      <c r="E20" s="25"/>
      <c r="F20" s="25"/>
      <c r="G20" s="21"/>
      <c r="I20" s="307"/>
      <c r="J20" s="307"/>
      <c r="K20" s="307"/>
    </row>
    <row r="21" spans="2:12" s="18" customFormat="1" ht="6" customHeight="1">
      <c r="B21" s="28"/>
      <c r="C21" s="29"/>
      <c r="D21" s="30"/>
      <c r="E21" s="31"/>
      <c r="F21" s="31"/>
      <c r="G21" s="298"/>
      <c r="I21" s="307"/>
      <c r="J21" s="307"/>
      <c r="K21" s="307"/>
    </row>
    <row r="22" spans="2:12" s="37" customFormat="1" ht="38.25">
      <c r="B22" s="33" t="s">
        <v>32</v>
      </c>
      <c r="C22" s="34" t="s">
        <v>140</v>
      </c>
      <c r="D22" s="34" t="s">
        <v>141</v>
      </c>
      <c r="E22" s="34" t="s">
        <v>139</v>
      </c>
      <c r="F22" s="34" t="s">
        <v>35</v>
      </c>
      <c r="G22" s="35" t="s">
        <v>36</v>
      </c>
      <c r="I22" s="787"/>
      <c r="J22" s="787"/>
      <c r="K22" s="787"/>
    </row>
    <row r="23" spans="2:12" s="18" customFormat="1" ht="6" customHeight="1" thickBot="1">
      <c r="B23" s="38"/>
      <c r="C23" s="39"/>
      <c r="D23" s="40"/>
      <c r="E23" s="41"/>
      <c r="F23" s="41"/>
      <c r="G23" s="299"/>
      <c r="I23" s="307"/>
      <c r="J23" s="307"/>
      <c r="K23" s="307"/>
    </row>
    <row r="24" spans="2:12" s="18" customFormat="1" ht="6" customHeight="1">
      <c r="B24" s="28"/>
      <c r="C24" s="29"/>
      <c r="D24" s="30"/>
      <c r="E24" s="31"/>
      <c r="F24" s="31"/>
      <c r="G24" s="298"/>
      <c r="I24" s="307"/>
      <c r="J24" s="307"/>
      <c r="K24" s="307"/>
    </row>
    <row r="25" spans="2:12" s="16" customFormat="1">
      <c r="B25" s="43" t="s">
        <v>37</v>
      </c>
      <c r="C25" s="44"/>
      <c r="D25" s="45"/>
      <c r="E25" s="46"/>
      <c r="F25" s="46"/>
      <c r="G25" s="300"/>
      <c r="H25" s="735" t="s">
        <v>790</v>
      </c>
      <c r="I25" s="309"/>
      <c r="J25" s="309"/>
      <c r="K25" s="309"/>
    </row>
    <row r="26" spans="2:12" s="16" customFormat="1">
      <c r="B26" s="48" t="s">
        <v>228</v>
      </c>
      <c r="C26" s="49">
        <f>26.25*3</f>
        <v>78.75</v>
      </c>
      <c r="D26" s="50">
        <f>114.98*3</f>
        <v>344.94</v>
      </c>
      <c r="E26" s="577" t="s">
        <v>21</v>
      </c>
      <c r="F26" s="578" t="s">
        <v>21</v>
      </c>
      <c r="G26" s="301" t="s">
        <v>745</v>
      </c>
      <c r="I26" s="310"/>
      <c r="J26" s="310"/>
      <c r="K26" s="310"/>
    </row>
    <row r="27" spans="2:12" s="16" customFormat="1" ht="14.25">
      <c r="B27" s="48" t="s">
        <v>229</v>
      </c>
      <c r="C27" s="49">
        <f>26.25*3</f>
        <v>78.75</v>
      </c>
      <c r="D27" s="50">
        <f>114.98*3</f>
        <v>344.94</v>
      </c>
      <c r="E27" s="577" t="s">
        <v>21</v>
      </c>
      <c r="F27" s="578" t="s">
        <v>21</v>
      </c>
      <c r="G27" s="301" t="s">
        <v>745</v>
      </c>
      <c r="H27" s="735"/>
      <c r="I27" s="735"/>
      <c r="J27" s="735"/>
      <c r="K27" s="735"/>
    </row>
    <row r="28" spans="2:12" s="16" customFormat="1" ht="14.25">
      <c r="B28" s="48" t="s">
        <v>230</v>
      </c>
      <c r="C28" s="49">
        <f>26.25*3</f>
        <v>78.75</v>
      </c>
      <c r="D28" s="50">
        <f>114.98*3</f>
        <v>344.94</v>
      </c>
      <c r="E28" s="577" t="s">
        <v>21</v>
      </c>
      <c r="F28" s="578" t="s">
        <v>21</v>
      </c>
      <c r="G28" s="301" t="s">
        <v>746</v>
      </c>
      <c r="H28" s="735"/>
      <c r="I28" s="735"/>
      <c r="J28" s="735"/>
      <c r="K28" s="735"/>
    </row>
    <row r="29" spans="2:12" s="160" customFormat="1" ht="15" customHeight="1">
      <c r="B29" s="48" t="s">
        <v>227</v>
      </c>
      <c r="C29" s="49">
        <v>9.9142940151074956</v>
      </c>
      <c r="D29" s="50">
        <v>43.424607786170832</v>
      </c>
      <c r="E29" s="51">
        <f>MAX(E64,E122,E148)</f>
        <v>6.5549999999999997</v>
      </c>
      <c r="F29" s="52" t="s">
        <v>39</v>
      </c>
      <c r="G29" s="314" t="s">
        <v>656</v>
      </c>
      <c r="H29" s="734"/>
      <c r="I29" s="734"/>
      <c r="J29" s="734"/>
      <c r="K29" s="734"/>
      <c r="L29" s="310"/>
    </row>
    <row r="30" spans="2:12" s="16" customFormat="1" ht="14.25">
      <c r="B30" s="48" t="s">
        <v>148</v>
      </c>
      <c r="C30" s="49">
        <f>(E36*$C$14)*3</f>
        <v>110.25</v>
      </c>
      <c r="D30" s="49">
        <f>((E30*$C$14)*C12/2000)*3</f>
        <v>344.92499999999995</v>
      </c>
      <c r="E30" s="577">
        <v>0.05</v>
      </c>
      <c r="F30" s="52" t="s">
        <v>39</v>
      </c>
      <c r="G30" s="301" t="s">
        <v>805</v>
      </c>
      <c r="H30" s="735">
        <v>7.0000000000000007E-2</v>
      </c>
      <c r="I30" s="52" t="s">
        <v>39</v>
      </c>
      <c r="J30" s="735"/>
      <c r="K30" s="735"/>
    </row>
    <row r="31" spans="2:12" s="16" customFormat="1">
      <c r="B31" s="48" t="s">
        <v>65</v>
      </c>
      <c r="C31" s="49">
        <f>E31*$C$14</f>
        <v>0.42262499999999997</v>
      </c>
      <c r="D31" s="50">
        <f>C31*$C$12/2000</f>
        <v>1.8510974999999998</v>
      </c>
      <c r="E31" s="163">
        <f>MAX('EF Dev Tests'!H8:J8)*1.15</f>
        <v>8.0499999999999994E-4</v>
      </c>
      <c r="F31" s="52" t="s">
        <v>45</v>
      </c>
      <c r="G31" s="301" t="s">
        <v>651</v>
      </c>
      <c r="H31" s="735"/>
      <c r="I31" s="735"/>
      <c r="J31" s="735"/>
      <c r="K31" s="735"/>
    </row>
    <row r="32" spans="2:12" s="16" customFormat="1" ht="14.25">
      <c r="B32" s="48" t="s">
        <v>149</v>
      </c>
      <c r="C32" s="50">
        <v>556.91</v>
      </c>
      <c r="D32" s="50">
        <f>C32*C12/2000</f>
        <v>2439.2657999999997</v>
      </c>
      <c r="E32" s="577" t="s">
        <v>21</v>
      </c>
      <c r="F32" s="578" t="s">
        <v>21</v>
      </c>
      <c r="G32" s="301" t="s">
        <v>747</v>
      </c>
      <c r="I32" s="304"/>
      <c r="J32" s="304"/>
      <c r="K32" s="304"/>
    </row>
    <row r="33" spans="2:11" s="16" customFormat="1">
      <c r="B33" s="48" t="s">
        <v>40</v>
      </c>
      <c r="C33" s="49">
        <f>E33*$C$14</f>
        <v>1.0867499999999999</v>
      </c>
      <c r="D33" s="50">
        <f>C33*$C$12/2000</f>
        <v>4.7599649999999993</v>
      </c>
      <c r="E33" s="163">
        <f>MAX('EF Dev Tests'!E8:G8)*1.15</f>
        <v>2.0699999999999998E-3</v>
      </c>
      <c r="F33" s="52" t="s">
        <v>45</v>
      </c>
      <c r="G33" s="301" t="s">
        <v>651</v>
      </c>
      <c r="I33" s="304"/>
      <c r="J33" s="304"/>
      <c r="K33" s="304"/>
    </row>
    <row r="34" spans="2:11" s="160" customFormat="1" ht="15" customHeight="1">
      <c r="B34" s="48" t="s">
        <v>267</v>
      </c>
      <c r="C34" s="49">
        <f>E34*$C$14</f>
        <v>1.3886249999999998</v>
      </c>
      <c r="D34" s="50">
        <f>C34*$C$12/2000</f>
        <v>6.0821774999999985</v>
      </c>
      <c r="E34" s="163">
        <f>MAX('EF Dev Tests'!B7:D8)*1.15</f>
        <v>2.6449999999999998E-3</v>
      </c>
      <c r="F34" s="52" t="s">
        <v>45</v>
      </c>
      <c r="G34" s="301" t="s">
        <v>651</v>
      </c>
      <c r="I34" s="310"/>
      <c r="J34" s="310"/>
      <c r="K34" s="310"/>
    </row>
    <row r="35" spans="2:11" s="160" customFormat="1" ht="15" customHeight="1">
      <c r="B35" s="48"/>
      <c r="C35" s="49"/>
      <c r="D35" s="50"/>
      <c r="E35" s="163"/>
      <c r="F35" s="52"/>
      <c r="G35" s="301"/>
      <c r="I35" s="310"/>
      <c r="J35" s="310"/>
      <c r="K35" s="310"/>
    </row>
    <row r="36" spans="2:11" s="160" customFormat="1" ht="15" customHeight="1">
      <c r="B36" s="48"/>
      <c r="C36" s="49"/>
      <c r="D36" s="50"/>
      <c r="E36" s="777">
        <v>7.0000000000000007E-2</v>
      </c>
      <c r="F36" s="52" t="s">
        <v>39</v>
      </c>
      <c r="G36" s="301" t="s">
        <v>804</v>
      </c>
      <c r="I36" s="310"/>
      <c r="J36" s="310"/>
      <c r="K36" s="310"/>
    </row>
    <row r="37" spans="2:11" s="16" customFormat="1">
      <c r="B37" s="48"/>
      <c r="C37" s="49"/>
      <c r="D37" s="50"/>
      <c r="E37" s="579"/>
      <c r="F37" s="52"/>
      <c r="G37" s="301"/>
      <c r="I37" s="304"/>
      <c r="J37" s="304"/>
      <c r="K37" s="304"/>
    </row>
    <row r="38" spans="2:11" s="16" customFormat="1">
      <c r="B38" s="43" t="s">
        <v>41</v>
      </c>
      <c r="C38" s="44"/>
      <c r="D38" s="54"/>
      <c r="E38" s="56"/>
      <c r="F38" s="57"/>
      <c r="G38" s="300"/>
      <c r="I38" s="304"/>
      <c r="J38" s="304"/>
      <c r="K38" s="304"/>
    </row>
    <row r="39" spans="2:11" s="16" customFormat="1">
      <c r="B39" s="58" t="s">
        <v>42</v>
      </c>
      <c r="C39" s="59"/>
      <c r="D39" s="54"/>
      <c r="E39" s="50"/>
      <c r="F39" s="60"/>
      <c r="G39" s="300"/>
      <c r="I39" s="304"/>
      <c r="J39" s="304"/>
      <c r="K39" s="304"/>
    </row>
    <row r="40" spans="2:11" s="16" customFormat="1">
      <c r="B40" s="61" t="s">
        <v>80</v>
      </c>
      <c r="C40" s="49">
        <f t="shared" ref="C40" si="1">D40/$C$12*2000</f>
        <v>2.4136317280453259</v>
      </c>
      <c r="D40" s="50">
        <f t="shared" ref="D40" si="2">E40*$C$15/2000</f>
        <v>10.571706968838527</v>
      </c>
      <c r="E40" s="80">
        <f>E86</f>
        <v>2.0699999999999998</v>
      </c>
      <c r="F40" s="46" t="s">
        <v>39</v>
      </c>
      <c r="G40" s="300" t="s">
        <v>656</v>
      </c>
      <c r="I40" s="304"/>
      <c r="J40" s="304"/>
      <c r="K40" s="304"/>
    </row>
    <row r="41" spans="2:11" s="16" customFormat="1">
      <c r="B41" s="58"/>
      <c r="C41" s="64"/>
      <c r="D41" s="65"/>
      <c r="E41" s="50"/>
      <c r="F41" s="60"/>
      <c r="G41" s="300"/>
      <c r="I41" s="304"/>
      <c r="J41" s="304"/>
      <c r="K41" s="304"/>
    </row>
    <row r="42" spans="2:11" s="16" customFormat="1">
      <c r="B42" s="58" t="s">
        <v>261</v>
      </c>
      <c r="C42" s="64"/>
      <c r="D42" s="65"/>
      <c r="E42" s="50"/>
      <c r="F42" s="60"/>
      <c r="G42" s="300"/>
      <c r="I42" s="304"/>
      <c r="J42" s="304"/>
      <c r="K42" s="304"/>
    </row>
    <row r="43" spans="2:11" s="16" customFormat="1" ht="14.25">
      <c r="B43" s="61" t="s">
        <v>268</v>
      </c>
      <c r="C43" s="62">
        <f t="shared" ref="C43:C44" si="3">D43/$C$12*2000</f>
        <v>0.1006682161533992</v>
      </c>
      <c r="D43" s="63">
        <f>E43*$C$16/2000</f>
        <v>0.44092678675188846</v>
      </c>
      <c r="E43" s="63">
        <v>3.3000000000000002E-2</v>
      </c>
      <c r="F43" s="46" t="s">
        <v>39</v>
      </c>
      <c r="G43" s="300" t="s">
        <v>656</v>
      </c>
      <c r="I43" s="304"/>
      <c r="J43" s="304"/>
      <c r="K43" s="304"/>
    </row>
    <row r="44" spans="2:11" s="16" customFormat="1">
      <c r="B44" s="61" t="s">
        <v>262</v>
      </c>
      <c r="C44" s="62">
        <f t="shared" si="3"/>
        <v>0.19828588030214991</v>
      </c>
      <c r="D44" s="63">
        <f t="shared" ref="D44" si="4">E44*$C$16/2000</f>
        <v>0.86849215572341665</v>
      </c>
      <c r="E44" s="63">
        <v>6.5000000000000002E-2</v>
      </c>
      <c r="F44" s="46" t="s">
        <v>39</v>
      </c>
      <c r="G44" s="300" t="s">
        <v>656</v>
      </c>
      <c r="I44" s="304"/>
      <c r="J44" s="304"/>
      <c r="K44" s="304"/>
    </row>
    <row r="45" spans="2:11" s="16" customFormat="1">
      <c r="B45" s="61" t="s">
        <v>272</v>
      </c>
      <c r="C45" s="50">
        <f>MAX(C94,C132)</f>
        <v>4.2909008498583576</v>
      </c>
      <c r="D45" s="50">
        <f>MAX(D94,D132)</f>
        <v>18.794145722379607</v>
      </c>
      <c r="E45" s="50">
        <f>MAX(E94,E132)</f>
        <v>3.6799999999999997</v>
      </c>
      <c r="F45" s="60" t="s">
        <v>39</v>
      </c>
      <c r="G45" s="300" t="s">
        <v>656</v>
      </c>
      <c r="I45" s="304"/>
      <c r="J45" s="304"/>
      <c r="K45" s="304"/>
    </row>
    <row r="46" spans="2:11" s="16" customFormat="1">
      <c r="B46" s="58"/>
      <c r="C46" s="64"/>
      <c r="D46" s="65"/>
      <c r="E46" s="50"/>
      <c r="F46" s="60"/>
      <c r="G46" s="300"/>
      <c r="I46" s="304"/>
      <c r="J46" s="304"/>
      <c r="K46" s="304"/>
    </row>
    <row r="47" spans="2:11" s="16" customFormat="1">
      <c r="B47" s="58" t="s">
        <v>86</v>
      </c>
      <c r="C47" s="64"/>
      <c r="D47" s="65"/>
      <c r="E47" s="50"/>
      <c r="F47" s="60"/>
      <c r="G47" s="300"/>
      <c r="I47" s="304"/>
      <c r="J47" s="304"/>
      <c r="K47" s="304"/>
    </row>
    <row r="48" spans="2:11" s="16" customFormat="1">
      <c r="B48" s="61" t="s">
        <v>91</v>
      </c>
      <c r="C48" s="63">
        <f t="shared" ref="C48:D48" si="5">C102</f>
        <v>6.7045325779036826E-4</v>
      </c>
      <c r="D48" s="63">
        <f t="shared" si="5"/>
        <v>2.9365852691218132E-3</v>
      </c>
      <c r="E48" s="63">
        <f>E102</f>
        <v>5.7499999999999999E-4</v>
      </c>
      <c r="F48" s="46" t="s">
        <v>39</v>
      </c>
      <c r="G48" s="300" t="s">
        <v>656</v>
      </c>
      <c r="I48" s="304"/>
      <c r="J48" s="304"/>
      <c r="K48" s="304"/>
    </row>
    <row r="49" spans="2:12" s="16" customFormat="1">
      <c r="B49" s="61" t="s">
        <v>92</v>
      </c>
      <c r="C49" s="63">
        <f t="shared" ref="C49:D49" si="6">C104</f>
        <v>3.4863569405099145E-4</v>
      </c>
      <c r="D49" s="63">
        <f t="shared" si="6"/>
        <v>1.5270243399433427E-3</v>
      </c>
      <c r="E49" s="63">
        <f>E104</f>
        <v>2.9899999999999995E-4</v>
      </c>
      <c r="F49" s="46" t="s">
        <v>39</v>
      </c>
      <c r="G49" s="300" t="s">
        <v>656</v>
      </c>
      <c r="I49" s="304"/>
      <c r="J49" s="304"/>
      <c r="K49" s="304"/>
    </row>
    <row r="50" spans="2:12" s="16" customFormat="1">
      <c r="B50" s="66"/>
      <c r="C50" s="67"/>
      <c r="D50" s="68"/>
      <c r="E50" s="69"/>
      <c r="F50" s="46"/>
      <c r="G50" s="300"/>
      <c r="I50" s="304"/>
      <c r="J50" s="304"/>
      <c r="K50" s="304"/>
    </row>
    <row r="51" spans="2:12" s="16" customFormat="1">
      <c r="B51" s="43" t="s">
        <v>44</v>
      </c>
      <c r="C51" s="44"/>
      <c r="D51" s="68"/>
      <c r="E51" s="69"/>
      <c r="F51" s="46"/>
      <c r="G51" s="300"/>
      <c r="I51" s="304"/>
      <c r="J51" s="304"/>
      <c r="K51" s="304"/>
    </row>
    <row r="52" spans="2:12" s="16" customFormat="1" ht="14.25">
      <c r="B52" s="70" t="s">
        <v>150</v>
      </c>
      <c r="C52" s="71">
        <f>D52/$C$12*2000</f>
        <v>746772.56145203707</v>
      </c>
      <c r="D52" s="72">
        <f>E52*'Key Inputs'!$D$43*$C$15/2000</f>
        <v>3270863.8191599222</v>
      </c>
      <c r="E52" s="586">
        <f>MAX(E109,E135,E166)</f>
        <v>604.77207762555622</v>
      </c>
      <c r="F52" s="52" t="s">
        <v>45</v>
      </c>
      <c r="G52" s="314" t="s">
        <v>656</v>
      </c>
      <c r="I52" s="304"/>
      <c r="J52" s="304"/>
      <c r="K52" s="304"/>
    </row>
    <row r="53" spans="2:12" s="16" customFormat="1" ht="14.25">
      <c r="B53" s="70" t="s">
        <v>151</v>
      </c>
      <c r="C53" s="49">
        <f>D53/$C$12*2000</f>
        <v>2.7222680134588688</v>
      </c>
      <c r="D53" s="72">
        <f>E53*'Key Inputs'!$D$43*$C$15/2000</f>
        <v>11.923533898949845</v>
      </c>
      <c r="E53" s="587">
        <f>MAX(E110,E136,E167)</f>
        <v>2.2046226218487759E-3</v>
      </c>
      <c r="F53" s="52" t="s">
        <v>45</v>
      </c>
      <c r="G53" s="314" t="s">
        <v>656</v>
      </c>
      <c r="I53" s="304"/>
      <c r="J53" s="304"/>
      <c r="K53" s="304"/>
    </row>
    <row r="54" spans="2:12" s="16" customFormat="1" ht="14.25">
      <c r="B54" s="70" t="s">
        <v>152</v>
      </c>
      <c r="C54" s="49">
        <f>D54/$C$12*2000</f>
        <v>0.27222680134588684</v>
      </c>
      <c r="D54" s="72">
        <f>E54*'Key Inputs'!$D$43*$C$15/2000</f>
        <v>1.1923533898949843</v>
      </c>
      <c r="E54" s="588">
        <f>MAX(E111,E137,E168)</f>
        <v>2.2046226218487756E-4</v>
      </c>
      <c r="F54" s="52" t="s">
        <v>45</v>
      </c>
      <c r="G54" s="314" t="s">
        <v>656</v>
      </c>
      <c r="I54" s="304"/>
      <c r="J54" s="304"/>
      <c r="K54" s="304"/>
    </row>
    <row r="55" spans="2:12" s="16" customFormat="1" ht="15" thickBot="1">
      <c r="B55" s="581" t="s">
        <v>153</v>
      </c>
      <c r="C55" s="582">
        <f>D55/$C$12*2000</f>
        <v>746921.74173917458</v>
      </c>
      <c r="D55" s="583">
        <f>D52*'Key Inputs'!$C$62+D53*'Key Inputs'!$C$63+D54*'Key Inputs'!$C$64</f>
        <v>3271517.2288175845</v>
      </c>
      <c r="E55" s="584" t="s">
        <v>46</v>
      </c>
      <c r="F55" s="585" t="s">
        <v>46</v>
      </c>
      <c r="G55" s="299" t="s">
        <v>47</v>
      </c>
      <c r="I55" s="304"/>
      <c r="J55" s="304"/>
      <c r="K55" s="304"/>
    </row>
    <row r="56" spans="2:12" s="16" customFormat="1">
      <c r="B56" s="580"/>
      <c r="C56" s="71"/>
      <c r="D56" s="73"/>
      <c r="E56" s="74"/>
      <c r="F56" s="75"/>
      <c r="G56" s="300"/>
      <c r="I56" s="304"/>
      <c r="J56" s="304"/>
      <c r="K56" s="304"/>
    </row>
    <row r="57" spans="2:12" s="11" customFormat="1" ht="15">
      <c r="B57" s="775" t="s">
        <v>251</v>
      </c>
      <c r="C57" s="329"/>
      <c r="D57" s="329"/>
      <c r="E57" s="330"/>
      <c r="F57" s="329"/>
      <c r="G57" s="331"/>
      <c r="I57" s="306"/>
      <c r="J57" s="306"/>
      <c r="K57" s="306"/>
    </row>
    <row r="58" spans="2:12" s="18" customFormat="1" ht="6" customHeight="1" thickBot="1">
      <c r="D58" s="27"/>
      <c r="E58" s="25"/>
      <c r="F58" s="25"/>
      <c r="G58" s="21"/>
      <c r="I58" s="307"/>
      <c r="J58" s="307"/>
      <c r="K58" s="307"/>
    </row>
    <row r="59" spans="2:12" s="18" customFormat="1" ht="6" customHeight="1">
      <c r="B59" s="28"/>
      <c r="C59" s="29"/>
      <c r="D59" s="30"/>
      <c r="E59" s="31"/>
      <c r="F59" s="31"/>
      <c r="G59" s="298"/>
      <c r="I59" s="307"/>
      <c r="J59" s="307"/>
      <c r="K59" s="307"/>
    </row>
    <row r="60" spans="2:12" s="37" customFormat="1" ht="38.25">
      <c r="B60" s="33" t="s">
        <v>32</v>
      </c>
      <c r="C60" s="34" t="s">
        <v>140</v>
      </c>
      <c r="D60" s="34" t="s">
        <v>141</v>
      </c>
      <c r="E60" s="34" t="s">
        <v>139</v>
      </c>
      <c r="F60" s="34" t="s">
        <v>35</v>
      </c>
      <c r="G60" s="35" t="s">
        <v>36</v>
      </c>
      <c r="I60" s="787"/>
      <c r="J60" s="787"/>
      <c r="K60" s="787"/>
    </row>
    <row r="61" spans="2:12" s="18" customFormat="1" ht="6" customHeight="1" thickBot="1">
      <c r="B61" s="38"/>
      <c r="C61" s="39"/>
      <c r="D61" s="40"/>
      <c r="E61" s="41"/>
      <c r="F61" s="41"/>
      <c r="G61" s="299"/>
      <c r="I61" s="307"/>
      <c r="J61" s="307"/>
      <c r="K61" s="307"/>
    </row>
    <row r="62" spans="2:12" s="18" customFormat="1" ht="6" customHeight="1">
      <c r="B62" s="28"/>
      <c r="C62" s="29"/>
      <c r="D62" s="30"/>
      <c r="E62" s="31"/>
      <c r="F62" s="31"/>
      <c r="G62" s="298"/>
      <c r="I62" s="307"/>
      <c r="J62" s="307"/>
      <c r="K62" s="307"/>
    </row>
    <row r="63" spans="2:12" s="16" customFormat="1">
      <c r="B63" s="43" t="s">
        <v>37</v>
      </c>
      <c r="C63" s="44"/>
      <c r="D63" s="45"/>
      <c r="E63" s="46"/>
      <c r="F63" s="46"/>
      <c r="G63" s="300"/>
      <c r="H63" s="304"/>
      <c r="I63" s="309"/>
      <c r="J63" s="309"/>
      <c r="K63" s="309"/>
    </row>
    <row r="64" spans="2:12" s="160" customFormat="1" ht="15" customHeight="1">
      <c r="B64" s="48" t="s">
        <v>227</v>
      </c>
      <c r="C64" s="49">
        <f t="shared" ref="C64" si="7">D64/$C$12*2000</f>
        <v>7.6431671388101989</v>
      </c>
      <c r="D64" s="50">
        <f>E64*C15/2000</f>
        <v>33.477072067988672</v>
      </c>
      <c r="E64" s="321">
        <f>5.7*(1+'Key Inputs'!G2)</f>
        <v>6.5549999999999997</v>
      </c>
      <c r="F64" s="52" t="s">
        <v>39</v>
      </c>
      <c r="G64" s="301" t="s">
        <v>126</v>
      </c>
      <c r="H64" s="310"/>
      <c r="I64" s="310"/>
      <c r="J64" s="310"/>
      <c r="K64" s="310"/>
      <c r="L64" s="310"/>
    </row>
    <row r="65" spans="2:12" s="160" customFormat="1" ht="15" customHeight="1">
      <c r="B65" s="48"/>
      <c r="C65" s="49"/>
      <c r="D65" s="50"/>
      <c r="E65" s="51"/>
      <c r="F65" s="52"/>
      <c r="G65" s="301"/>
      <c r="H65" s="310"/>
      <c r="I65" s="310"/>
      <c r="J65" s="310"/>
      <c r="K65" s="310"/>
      <c r="L65" s="310"/>
    </row>
    <row r="66" spans="2:12" s="16" customFormat="1">
      <c r="B66" s="43" t="s">
        <v>41</v>
      </c>
      <c r="C66" s="44"/>
      <c r="D66" s="54"/>
      <c r="E66" s="56"/>
      <c r="F66" s="57"/>
      <c r="G66" s="300"/>
      <c r="I66" s="304"/>
      <c r="J66" s="304"/>
      <c r="K66" s="304"/>
    </row>
    <row r="67" spans="2:12" s="16" customFormat="1">
      <c r="B67" s="58" t="s">
        <v>42</v>
      </c>
      <c r="C67" s="59"/>
      <c r="D67" s="54"/>
      <c r="E67" s="50"/>
      <c r="F67" s="60"/>
      <c r="G67" s="300"/>
      <c r="I67" s="304"/>
      <c r="J67" s="304"/>
      <c r="K67" s="304"/>
    </row>
    <row r="68" spans="2:12" s="16" customFormat="1" hidden="1">
      <c r="B68" s="61" t="s">
        <v>66</v>
      </c>
      <c r="C68" s="62">
        <f t="shared" ref="C68:C91" si="8">D68/$C$12*2000</f>
        <v>3.2181756373937681E-5</v>
      </c>
      <c r="D68" s="63">
        <f>E68*$C$15/2000</f>
        <v>1.4095609291784705E-4</v>
      </c>
      <c r="E68" s="326">
        <f>0.000024*(1+'Key Inputs'!$G$2)</f>
        <v>2.76E-5</v>
      </c>
      <c r="F68" s="46" t="s">
        <v>39</v>
      </c>
      <c r="G68" s="300" t="s">
        <v>128</v>
      </c>
      <c r="I68" s="304"/>
      <c r="J68" s="304"/>
      <c r="K68" s="304"/>
    </row>
    <row r="69" spans="2:12" s="16" customFormat="1" hidden="1">
      <c r="B69" s="61" t="s">
        <v>67</v>
      </c>
      <c r="C69" s="62">
        <f t="shared" si="8"/>
        <v>2.4136317280453255E-6</v>
      </c>
      <c r="D69" s="63">
        <f t="shared" ref="D69:D91" si="9">E69*$C$15/2000</f>
        <v>1.0571706968838527E-5</v>
      </c>
      <c r="E69" s="326">
        <f>0.0000018*(1+'Key Inputs'!$G$2)</f>
        <v>2.0699999999999997E-6</v>
      </c>
      <c r="F69" s="46" t="s">
        <v>39</v>
      </c>
      <c r="G69" s="300" t="s">
        <v>128</v>
      </c>
      <c r="I69" s="304"/>
      <c r="J69" s="304"/>
      <c r="K69" s="304"/>
    </row>
    <row r="70" spans="2:12" s="16" customFormat="1" hidden="1">
      <c r="B70" s="61" t="s">
        <v>68</v>
      </c>
      <c r="C70" s="62">
        <f t="shared" si="8"/>
        <v>2.1454504249291781E-5</v>
      </c>
      <c r="D70" s="63">
        <f t="shared" si="9"/>
        <v>9.3970728611898012E-5</v>
      </c>
      <c r="E70" s="326">
        <f>0.000016*(1+'Key Inputs'!$G$2)</f>
        <v>1.8399999999999997E-5</v>
      </c>
      <c r="F70" s="46" t="s">
        <v>39</v>
      </c>
      <c r="G70" s="300" t="s">
        <v>128</v>
      </c>
      <c r="I70" s="304"/>
      <c r="J70" s="304"/>
      <c r="K70" s="304"/>
    </row>
    <row r="71" spans="2:12" s="16" customFormat="1" hidden="1">
      <c r="B71" s="61" t="s">
        <v>108</v>
      </c>
      <c r="C71" s="62">
        <f t="shared" si="8"/>
        <v>2.4136317280453255E-6</v>
      </c>
      <c r="D71" s="63">
        <f t="shared" si="9"/>
        <v>1.0571706968838527E-5</v>
      </c>
      <c r="E71" s="326">
        <f>0.0000018*(1+'Key Inputs'!$G$2)</f>
        <v>2.0699999999999997E-6</v>
      </c>
      <c r="F71" s="46" t="s">
        <v>39</v>
      </c>
      <c r="G71" s="300" t="s">
        <v>128</v>
      </c>
      <c r="I71" s="304"/>
      <c r="J71" s="304"/>
      <c r="K71" s="304"/>
    </row>
    <row r="72" spans="2:12" s="16" customFormat="1" hidden="1">
      <c r="B72" s="61" t="s">
        <v>109</v>
      </c>
      <c r="C72" s="62">
        <f t="shared" si="8"/>
        <v>2.4136317280453255E-6</v>
      </c>
      <c r="D72" s="63">
        <f t="shared" si="9"/>
        <v>1.0571706968838527E-5</v>
      </c>
      <c r="E72" s="326">
        <f>0.0000018*(1+'Key Inputs'!$G$2)</f>
        <v>2.0699999999999997E-6</v>
      </c>
      <c r="F72" s="46" t="s">
        <v>39</v>
      </c>
      <c r="G72" s="300" t="s">
        <v>128</v>
      </c>
      <c r="I72" s="304"/>
      <c r="J72" s="304"/>
      <c r="K72" s="304"/>
    </row>
    <row r="73" spans="2:12" s="16" customFormat="1" hidden="1">
      <c r="B73" s="61" t="s">
        <v>69</v>
      </c>
      <c r="C73" s="62">
        <f t="shared" si="8"/>
        <v>3.2181756373937678E-6</v>
      </c>
      <c r="D73" s="63">
        <f t="shared" si="9"/>
        <v>1.4095609291784704E-5</v>
      </c>
      <c r="E73" s="326">
        <f>0.0000024*(1+'Key Inputs'!$G$2)</f>
        <v>2.7599999999999998E-6</v>
      </c>
      <c r="F73" s="46" t="s">
        <v>39</v>
      </c>
      <c r="G73" s="300" t="s">
        <v>128</v>
      </c>
      <c r="I73" s="304"/>
      <c r="J73" s="304"/>
      <c r="K73" s="304"/>
    </row>
    <row r="74" spans="2:12" s="16" customFormat="1" hidden="1">
      <c r="B74" s="61" t="s">
        <v>70</v>
      </c>
      <c r="C74" s="62">
        <f t="shared" si="8"/>
        <v>2.4136317280453255E-6</v>
      </c>
      <c r="D74" s="63">
        <f t="shared" si="9"/>
        <v>1.0571706968838527E-5</v>
      </c>
      <c r="E74" s="326">
        <f>0.0000018*(1+'Key Inputs'!$G$2)</f>
        <v>2.0699999999999997E-6</v>
      </c>
      <c r="F74" s="46" t="s">
        <v>39</v>
      </c>
      <c r="G74" s="300" t="s">
        <v>128</v>
      </c>
      <c r="I74" s="304"/>
      <c r="J74" s="304"/>
      <c r="K74" s="304"/>
    </row>
    <row r="75" spans="2:12" s="16" customFormat="1" hidden="1">
      <c r="B75" s="61" t="s">
        <v>43</v>
      </c>
      <c r="C75" s="62">
        <f t="shared" si="8"/>
        <v>2.8159036827195465E-3</v>
      </c>
      <c r="D75" s="63">
        <f t="shared" si="9"/>
        <v>1.2333658130311613E-2</v>
      </c>
      <c r="E75" s="326">
        <f>0.0021*(1+'Key Inputs'!$G$2)</f>
        <v>2.4149999999999996E-3</v>
      </c>
      <c r="F75" s="46" t="s">
        <v>39</v>
      </c>
      <c r="G75" s="300" t="s">
        <v>128</v>
      </c>
      <c r="I75" s="304"/>
      <c r="J75" s="304"/>
      <c r="K75" s="304"/>
    </row>
    <row r="76" spans="2:12" s="16" customFormat="1" hidden="1">
      <c r="B76" s="61" t="s">
        <v>71</v>
      </c>
      <c r="C76" s="62">
        <f t="shared" si="8"/>
        <v>1.6090878186968839E-6</v>
      </c>
      <c r="D76" s="63">
        <f t="shared" si="9"/>
        <v>7.0478046458923521E-6</v>
      </c>
      <c r="E76" s="326">
        <f>0.0000012*(1+'Key Inputs'!$G$2)</f>
        <v>1.3799999999999999E-6</v>
      </c>
      <c r="F76" s="46" t="s">
        <v>39</v>
      </c>
      <c r="G76" s="300" t="s">
        <v>128</v>
      </c>
      <c r="I76" s="304"/>
      <c r="J76" s="304"/>
      <c r="K76" s="304"/>
    </row>
    <row r="77" spans="2:12" s="16" customFormat="1" hidden="1">
      <c r="B77" s="61" t="s">
        <v>72</v>
      </c>
      <c r="C77" s="62">
        <f t="shared" si="8"/>
        <v>2.4136317280453255E-6</v>
      </c>
      <c r="D77" s="63">
        <f t="shared" si="9"/>
        <v>1.0571706968838527E-5</v>
      </c>
      <c r="E77" s="326">
        <f>0.0000018*(1+'Key Inputs'!$G$2)</f>
        <v>2.0699999999999997E-6</v>
      </c>
      <c r="F77" s="46" t="s">
        <v>39</v>
      </c>
      <c r="G77" s="300" t="s">
        <v>128</v>
      </c>
      <c r="I77" s="304"/>
      <c r="J77" s="304"/>
      <c r="K77" s="304"/>
    </row>
    <row r="78" spans="2:12" s="16" customFormat="1" hidden="1">
      <c r="B78" s="61" t="s">
        <v>73</v>
      </c>
      <c r="C78" s="62">
        <f t="shared" si="8"/>
        <v>1.6090878186968839E-6</v>
      </c>
      <c r="D78" s="63">
        <f t="shared" si="9"/>
        <v>7.0478046458923521E-6</v>
      </c>
      <c r="E78" s="326">
        <f>0.0000012*(1+'Key Inputs'!$G$2)</f>
        <v>1.3799999999999999E-6</v>
      </c>
      <c r="F78" s="46" t="s">
        <v>39</v>
      </c>
      <c r="G78" s="300" t="s">
        <v>128</v>
      </c>
      <c r="I78" s="304"/>
      <c r="J78" s="304"/>
      <c r="K78" s="304"/>
    </row>
    <row r="79" spans="2:12" s="16" customFormat="1" hidden="1">
      <c r="B79" s="61" t="s">
        <v>74</v>
      </c>
      <c r="C79" s="62">
        <f t="shared" si="8"/>
        <v>2.4136317280453255E-6</v>
      </c>
      <c r="D79" s="63">
        <f t="shared" si="9"/>
        <v>1.0571706968838527E-5</v>
      </c>
      <c r="E79" s="326">
        <f>0.0000018*(1+'Key Inputs'!$G$2)</f>
        <v>2.0699999999999997E-6</v>
      </c>
      <c r="F79" s="46" t="s">
        <v>39</v>
      </c>
      <c r="G79" s="300" t="s">
        <v>128</v>
      </c>
      <c r="I79" s="304"/>
      <c r="J79" s="304"/>
      <c r="K79" s="304"/>
    </row>
    <row r="80" spans="2:12" s="16" customFormat="1" hidden="1">
      <c r="B80" s="61" t="s">
        <v>75</v>
      </c>
      <c r="C80" s="62">
        <f t="shared" si="8"/>
        <v>2.4136317280453255E-6</v>
      </c>
      <c r="D80" s="63">
        <f t="shared" si="9"/>
        <v>1.0571706968838527E-5</v>
      </c>
      <c r="E80" s="326">
        <f>0.0000018*(1+'Key Inputs'!$G$2)</f>
        <v>2.0699999999999997E-6</v>
      </c>
      <c r="F80" s="46" t="s">
        <v>39</v>
      </c>
      <c r="G80" s="300" t="s">
        <v>128</v>
      </c>
      <c r="I80" s="304"/>
      <c r="J80" s="304"/>
      <c r="K80" s="304"/>
    </row>
    <row r="81" spans="2:11" s="16" customFormat="1" hidden="1">
      <c r="B81" s="61" t="s">
        <v>76</v>
      </c>
      <c r="C81" s="62">
        <f t="shared" si="8"/>
        <v>1.6090878186968839E-6</v>
      </c>
      <c r="D81" s="63">
        <f t="shared" si="9"/>
        <v>7.0478046458923521E-6</v>
      </c>
      <c r="E81" s="326">
        <f>0.0000012*(1+'Key Inputs'!$G$2)</f>
        <v>1.3799999999999999E-6</v>
      </c>
      <c r="F81" s="46" t="s">
        <v>39</v>
      </c>
      <c r="G81" s="300" t="s">
        <v>128</v>
      </c>
      <c r="I81" s="304"/>
      <c r="J81" s="304"/>
      <c r="K81" s="304"/>
    </row>
    <row r="82" spans="2:11" s="16" customFormat="1" hidden="1">
      <c r="B82" s="61" t="s">
        <v>77</v>
      </c>
      <c r="C82" s="62">
        <f t="shared" si="8"/>
        <v>1.6090878186968837E-3</v>
      </c>
      <c r="D82" s="63">
        <f t="shared" si="9"/>
        <v>7.0478046458923504E-3</v>
      </c>
      <c r="E82" s="326">
        <f>0.0012*(1+'Key Inputs'!$G$2)</f>
        <v>1.3799999999999997E-3</v>
      </c>
      <c r="F82" s="46" t="s">
        <v>39</v>
      </c>
      <c r="G82" s="300" t="s">
        <v>128</v>
      </c>
      <c r="I82" s="304"/>
      <c r="J82" s="304"/>
      <c r="K82" s="304"/>
    </row>
    <row r="83" spans="2:11" s="16" customFormat="1" hidden="1">
      <c r="B83" s="61" t="s">
        <v>78</v>
      </c>
      <c r="C83" s="62">
        <f t="shared" si="8"/>
        <v>4.0227195467422101E-6</v>
      </c>
      <c r="D83" s="63">
        <f t="shared" si="9"/>
        <v>1.7619511614730881E-5</v>
      </c>
      <c r="E83" s="326">
        <f>0.000003*(1+'Key Inputs'!$G$2)</f>
        <v>3.45E-6</v>
      </c>
      <c r="F83" s="46" t="s">
        <v>39</v>
      </c>
      <c r="G83" s="300" t="s">
        <v>128</v>
      </c>
      <c r="I83" s="304"/>
      <c r="J83" s="304"/>
      <c r="K83" s="304"/>
    </row>
    <row r="84" spans="2:11" s="16" customFormat="1" hidden="1">
      <c r="B84" s="61" t="s">
        <v>79</v>
      </c>
      <c r="C84" s="62">
        <f t="shared" si="8"/>
        <v>3.7545382436260625E-6</v>
      </c>
      <c r="D84" s="63">
        <f t="shared" si="9"/>
        <v>1.6444877507082155E-5</v>
      </c>
      <c r="E84" s="326">
        <f>0.0000028*(1+'Key Inputs'!$G$2)</f>
        <v>3.2199999999999997E-6</v>
      </c>
      <c r="F84" s="46" t="s">
        <v>39</v>
      </c>
      <c r="G84" s="300" t="s">
        <v>128</v>
      </c>
      <c r="I84" s="304"/>
      <c r="J84" s="304"/>
      <c r="K84" s="304"/>
    </row>
    <row r="85" spans="2:11" s="16" customFormat="1" hidden="1">
      <c r="B85" s="61" t="s">
        <v>106</v>
      </c>
      <c r="C85" s="62">
        <f t="shared" si="8"/>
        <v>0.10056798866855525</v>
      </c>
      <c r="D85" s="63">
        <f t="shared" si="9"/>
        <v>0.44048779036827201</v>
      </c>
      <c r="E85" s="326">
        <f>0.075*(1+'Key Inputs'!$G$2)</f>
        <v>8.6249999999999993E-2</v>
      </c>
      <c r="F85" s="46" t="s">
        <v>39</v>
      </c>
      <c r="G85" s="300" t="s">
        <v>128</v>
      </c>
      <c r="I85" s="304"/>
      <c r="J85" s="304"/>
      <c r="K85" s="304"/>
    </row>
    <row r="86" spans="2:11" s="16" customFormat="1">
      <c r="B86" s="61" t="s">
        <v>80</v>
      </c>
      <c r="C86" s="49">
        <f t="shared" si="8"/>
        <v>2.4136317280453259</v>
      </c>
      <c r="D86" s="89">
        <f t="shared" si="9"/>
        <v>10.571706968838527</v>
      </c>
      <c r="E86" s="328">
        <f>1.8*(1+'Key Inputs'!$G$2)</f>
        <v>2.0699999999999998</v>
      </c>
      <c r="F86" s="46" t="s">
        <v>39</v>
      </c>
      <c r="G86" s="300" t="s">
        <v>128</v>
      </c>
      <c r="I86" s="304"/>
      <c r="J86" s="304"/>
      <c r="K86" s="304"/>
    </row>
    <row r="87" spans="2:11" s="16" customFormat="1" hidden="1">
      <c r="B87" s="61" t="s">
        <v>81</v>
      </c>
      <c r="C87" s="62">
        <f t="shared" si="8"/>
        <v>2.4136317280453255E-6</v>
      </c>
      <c r="D87" s="63">
        <f t="shared" si="9"/>
        <v>1.0571706968838527E-5</v>
      </c>
      <c r="E87" s="326">
        <f>0.0000018*(1+'Key Inputs'!$G$2)</f>
        <v>2.0699999999999997E-6</v>
      </c>
      <c r="F87" s="46" t="s">
        <v>39</v>
      </c>
      <c r="G87" s="300" t="s">
        <v>128</v>
      </c>
      <c r="I87" s="304"/>
      <c r="J87" s="304"/>
      <c r="K87" s="304"/>
    </row>
    <row r="88" spans="2:11" s="16" customFormat="1" hidden="1">
      <c r="B88" s="61" t="s">
        <v>82</v>
      </c>
      <c r="C88" s="62">
        <f t="shared" si="8"/>
        <v>8.1795297450424926E-4</v>
      </c>
      <c r="D88" s="63">
        <f t="shared" si="9"/>
        <v>3.5826340283286115E-3</v>
      </c>
      <c r="E88" s="326">
        <f>0.00061*(1+'Key Inputs'!$G$2)</f>
        <v>7.0149999999999987E-4</v>
      </c>
      <c r="F88" s="46" t="s">
        <v>39</v>
      </c>
      <c r="G88" s="300" t="s">
        <v>128</v>
      </c>
      <c r="I88" s="304"/>
      <c r="J88" s="304"/>
      <c r="K88" s="304"/>
    </row>
    <row r="89" spans="2:11" s="16" customFormat="1" hidden="1">
      <c r="B89" s="61" t="s">
        <v>83</v>
      </c>
      <c r="C89" s="62">
        <f t="shared" si="8"/>
        <v>2.2795410764872519E-5</v>
      </c>
      <c r="D89" s="63">
        <f t="shared" si="9"/>
        <v>9.9843899150141644E-5</v>
      </c>
      <c r="E89" s="326">
        <f>0.000017*(1+'Key Inputs'!$G$2)</f>
        <v>1.9549999999999997E-5</v>
      </c>
      <c r="F89" s="46" t="s">
        <v>39</v>
      </c>
      <c r="G89" s="300" t="s">
        <v>128</v>
      </c>
      <c r="I89" s="304"/>
      <c r="J89" s="304"/>
      <c r="K89" s="304"/>
    </row>
    <row r="90" spans="2:11" s="16" customFormat="1" hidden="1">
      <c r="B90" s="61" t="s">
        <v>84</v>
      </c>
      <c r="C90" s="62">
        <f t="shared" si="8"/>
        <v>6.7045325779036832E-6</v>
      </c>
      <c r="D90" s="63">
        <f t="shared" si="9"/>
        <v>2.9365852691218131E-5</v>
      </c>
      <c r="E90" s="326">
        <f>0.000005*(1+'Key Inputs'!$G$2)</f>
        <v>5.75E-6</v>
      </c>
      <c r="F90" s="46" t="s">
        <v>39</v>
      </c>
      <c r="G90" s="300" t="s">
        <v>128</v>
      </c>
      <c r="I90" s="304"/>
      <c r="J90" s="304"/>
      <c r="K90" s="304"/>
    </row>
    <row r="91" spans="2:11" s="16" customFormat="1" hidden="1">
      <c r="B91" s="61" t="s">
        <v>85</v>
      </c>
      <c r="C91" s="62">
        <f t="shared" si="8"/>
        <v>4.5590821529745045E-3</v>
      </c>
      <c r="D91" s="63">
        <f t="shared" si="9"/>
        <v>1.996877983002833E-2</v>
      </c>
      <c r="E91" s="326">
        <f>0.0034*(1+'Key Inputs'!$G$2)</f>
        <v>3.9099999999999994E-3</v>
      </c>
      <c r="F91" s="46" t="s">
        <v>39</v>
      </c>
      <c r="G91" s="300" t="s">
        <v>128</v>
      </c>
      <c r="I91" s="304"/>
      <c r="J91" s="304"/>
      <c r="K91" s="304"/>
    </row>
    <row r="92" spans="2:11" s="16" customFormat="1">
      <c r="B92" s="58"/>
      <c r="C92" s="64"/>
      <c r="D92" s="65"/>
      <c r="E92" s="50"/>
      <c r="F92" s="60"/>
      <c r="G92" s="300"/>
      <c r="I92" s="304"/>
      <c r="J92" s="304"/>
      <c r="K92" s="304"/>
    </row>
    <row r="93" spans="2:11" s="16" customFormat="1">
      <c r="B93" s="58" t="s">
        <v>261</v>
      </c>
      <c r="C93" s="64"/>
      <c r="D93" s="65"/>
      <c r="E93" s="50"/>
      <c r="F93" s="60"/>
      <c r="G93" s="300"/>
      <c r="I93" s="304"/>
      <c r="J93" s="304"/>
      <c r="K93" s="304"/>
    </row>
    <row r="94" spans="2:11" s="16" customFormat="1">
      <c r="B94" s="61" t="s">
        <v>272</v>
      </c>
      <c r="C94" s="49">
        <f t="shared" ref="C94" si="10">D94/$C$12*2000</f>
        <v>4.2909008498583576</v>
      </c>
      <c r="D94" s="89">
        <f t="shared" ref="D94" si="11">E94*$C$15/2000</f>
        <v>18.794145722379607</v>
      </c>
      <c r="E94" s="328">
        <f>3.2*(1+'Key Inputs'!$G$2)</f>
        <v>3.6799999999999997</v>
      </c>
      <c r="F94" s="60" t="s">
        <v>39</v>
      </c>
      <c r="G94" s="300" t="s">
        <v>273</v>
      </c>
      <c r="I94" s="304"/>
      <c r="J94" s="304"/>
      <c r="K94" s="304"/>
    </row>
    <row r="95" spans="2:11" s="16" customFormat="1">
      <c r="B95" s="58"/>
      <c r="C95" s="64"/>
      <c r="D95" s="65"/>
      <c r="E95" s="50"/>
      <c r="F95" s="60"/>
      <c r="G95" s="300"/>
      <c r="I95" s="304"/>
      <c r="J95" s="304"/>
      <c r="K95" s="304"/>
    </row>
    <row r="96" spans="2:11" s="16" customFormat="1">
      <c r="B96" s="58" t="s">
        <v>86</v>
      </c>
      <c r="C96" s="64"/>
      <c r="D96" s="65"/>
      <c r="E96" s="50"/>
      <c r="F96" s="60"/>
      <c r="G96" s="300"/>
      <c r="I96" s="304"/>
      <c r="J96" s="304"/>
      <c r="K96" s="304"/>
    </row>
    <row r="97" spans="2:11" s="16" customFormat="1" hidden="1">
      <c r="B97" s="61" t="s">
        <v>87</v>
      </c>
      <c r="C97" s="62">
        <f t="shared" ref="C97:C106" si="12">D97/$C$12*2000</f>
        <v>2.6818130311614729E-4</v>
      </c>
      <c r="D97" s="63">
        <f>E97*$C$15/2000</f>
        <v>1.1746341076487251E-3</v>
      </c>
      <c r="E97" s="326">
        <f>0.0002*(1+'Key Inputs'!$G$2)</f>
        <v>2.2999999999999998E-4</v>
      </c>
      <c r="F97" s="46" t="s">
        <v>39</v>
      </c>
      <c r="G97" s="300" t="s">
        <v>127</v>
      </c>
      <c r="I97" s="304"/>
      <c r="J97" s="304"/>
      <c r="K97" s="304"/>
    </row>
    <row r="98" spans="2:11" s="16" customFormat="1" hidden="1">
      <c r="B98" s="61" t="s">
        <v>88</v>
      </c>
      <c r="C98" s="62">
        <f t="shared" si="12"/>
        <v>5.8999886685552425E-3</v>
      </c>
      <c r="D98" s="63">
        <f t="shared" ref="D98:D106" si="13">E98*$C$15/2000</f>
        <v>2.584195036827196E-2</v>
      </c>
      <c r="E98" s="326">
        <f>0.0044*(1+'Key Inputs'!$G$2)</f>
        <v>5.0600000000000003E-3</v>
      </c>
      <c r="F98" s="46" t="s">
        <v>39</v>
      </c>
      <c r="G98" s="300" t="s">
        <v>127</v>
      </c>
      <c r="I98" s="304"/>
      <c r="J98" s="304"/>
      <c r="K98" s="304"/>
    </row>
    <row r="99" spans="2:11" s="16" customFormat="1" hidden="1">
      <c r="B99" s="61" t="s">
        <v>11</v>
      </c>
      <c r="C99" s="62">
        <f t="shared" si="12"/>
        <v>1.4749971671388106E-3</v>
      </c>
      <c r="D99" s="63">
        <f t="shared" si="13"/>
        <v>6.4604875920679901E-3</v>
      </c>
      <c r="E99" s="326">
        <f>0.0011*(1+'Key Inputs'!$G$2)</f>
        <v>1.2650000000000001E-3</v>
      </c>
      <c r="F99" s="46" t="s">
        <v>39</v>
      </c>
      <c r="G99" s="300" t="s">
        <v>127</v>
      </c>
      <c r="I99" s="304"/>
      <c r="J99" s="304"/>
      <c r="K99" s="304"/>
    </row>
    <row r="100" spans="2:11" s="16" customFormat="1" hidden="1">
      <c r="B100" s="61" t="s">
        <v>89</v>
      </c>
      <c r="C100" s="62">
        <f t="shared" si="12"/>
        <v>1.8772691218130312E-3</v>
      </c>
      <c r="D100" s="63">
        <f t="shared" si="13"/>
        <v>8.2224387535410771E-3</v>
      </c>
      <c r="E100" s="326">
        <f>0.0014*(1+'Key Inputs'!$G$2)</f>
        <v>1.6099999999999999E-3</v>
      </c>
      <c r="F100" s="46" t="s">
        <v>39</v>
      </c>
      <c r="G100" s="300" t="s">
        <v>127</v>
      </c>
      <c r="I100" s="304"/>
      <c r="J100" s="304"/>
      <c r="K100" s="304"/>
    </row>
    <row r="101" spans="2:11" s="16" customFormat="1" hidden="1">
      <c r="B101" s="61" t="s">
        <v>90</v>
      </c>
      <c r="C101" s="62">
        <f t="shared" si="12"/>
        <v>1.1263614730878187E-4</v>
      </c>
      <c r="D101" s="63">
        <f t="shared" si="13"/>
        <v>4.9334632521246457E-4</v>
      </c>
      <c r="E101" s="326">
        <f>0.000084*(1+'Key Inputs'!$G$2)</f>
        <v>9.659999999999999E-5</v>
      </c>
      <c r="F101" s="46" t="s">
        <v>39</v>
      </c>
      <c r="G101" s="300" t="s">
        <v>127</v>
      </c>
      <c r="I101" s="304"/>
      <c r="J101" s="304"/>
      <c r="K101" s="304"/>
    </row>
    <row r="102" spans="2:11" s="16" customFormat="1">
      <c r="B102" s="61" t="s">
        <v>91</v>
      </c>
      <c r="C102" s="62">
        <f t="shared" si="12"/>
        <v>6.7045325779036826E-4</v>
      </c>
      <c r="D102" s="63">
        <f t="shared" si="13"/>
        <v>2.9365852691218132E-3</v>
      </c>
      <c r="E102" s="326">
        <f>0.0005*(1+'Key Inputs'!$G$2)</f>
        <v>5.7499999999999999E-4</v>
      </c>
      <c r="F102" s="46" t="s">
        <v>39</v>
      </c>
      <c r="G102" s="300" t="s">
        <v>126</v>
      </c>
      <c r="I102" s="304"/>
      <c r="J102" s="304"/>
      <c r="K102" s="304"/>
    </row>
    <row r="103" spans="2:11" s="16" customFormat="1" hidden="1">
      <c r="B103" s="61" t="s">
        <v>7</v>
      </c>
      <c r="C103" s="62">
        <f t="shared" si="12"/>
        <v>5.0954447592067994E-4</v>
      </c>
      <c r="D103" s="63">
        <f t="shared" si="13"/>
        <v>2.2318048045325781E-3</v>
      </c>
      <c r="E103" s="326">
        <f>0.00038*(1+'Key Inputs'!$G$2)</f>
        <v>4.37E-4</v>
      </c>
      <c r="F103" s="46" t="s">
        <v>39</v>
      </c>
      <c r="G103" s="300" t="s">
        <v>127</v>
      </c>
      <c r="I103" s="304"/>
      <c r="J103" s="304"/>
      <c r="K103" s="304"/>
    </row>
    <row r="104" spans="2:11" s="16" customFormat="1">
      <c r="B104" s="61" t="s">
        <v>92</v>
      </c>
      <c r="C104" s="62">
        <f t="shared" si="12"/>
        <v>3.4863569405099145E-4</v>
      </c>
      <c r="D104" s="63">
        <f t="shared" si="13"/>
        <v>1.5270243399433427E-3</v>
      </c>
      <c r="E104" s="326">
        <f>0.00026*(1+'Key Inputs'!$G$2)</f>
        <v>2.9899999999999995E-4</v>
      </c>
      <c r="F104" s="46" t="s">
        <v>39</v>
      </c>
      <c r="G104" s="300" t="s">
        <v>127</v>
      </c>
      <c r="I104" s="304"/>
      <c r="J104" s="304"/>
      <c r="K104" s="304"/>
    </row>
    <row r="105" spans="2:11" s="16" customFormat="1" hidden="1">
      <c r="B105" s="66" t="s">
        <v>12</v>
      </c>
      <c r="C105" s="62">
        <f t="shared" si="12"/>
        <v>2.8159036827195465E-3</v>
      </c>
      <c r="D105" s="63">
        <f t="shared" si="13"/>
        <v>1.2333658130311613E-2</v>
      </c>
      <c r="E105" s="327">
        <f>0.0021*(1+'Key Inputs'!$G$2)</f>
        <v>2.4149999999999996E-3</v>
      </c>
      <c r="F105" s="46" t="s">
        <v>39</v>
      </c>
      <c r="G105" s="300" t="s">
        <v>127</v>
      </c>
      <c r="I105" s="304"/>
      <c r="J105" s="304"/>
      <c r="K105" s="304"/>
    </row>
    <row r="106" spans="2:11" s="16" customFormat="1" hidden="1">
      <c r="B106" s="66" t="s">
        <v>93</v>
      </c>
      <c r="C106" s="62">
        <f t="shared" si="12"/>
        <v>3.2181756373937681E-5</v>
      </c>
      <c r="D106" s="63">
        <f t="shared" si="13"/>
        <v>1.4095609291784705E-4</v>
      </c>
      <c r="E106" s="327">
        <f>0.000024*(1+'Key Inputs'!$G$2)</f>
        <v>2.76E-5</v>
      </c>
      <c r="F106" s="46" t="s">
        <v>39</v>
      </c>
      <c r="G106" s="300" t="s">
        <v>127</v>
      </c>
      <c r="I106" s="304"/>
      <c r="J106" s="304"/>
      <c r="K106" s="304"/>
    </row>
    <row r="107" spans="2:11" s="16" customFormat="1">
      <c r="B107" s="66"/>
      <c r="C107" s="67"/>
      <c r="D107" s="68"/>
      <c r="E107" s="69"/>
      <c r="F107" s="46"/>
      <c r="G107" s="300"/>
      <c r="I107" s="304"/>
      <c r="J107" s="304"/>
      <c r="K107" s="304"/>
    </row>
    <row r="108" spans="2:11" s="16" customFormat="1">
      <c r="B108" s="43" t="s">
        <v>44</v>
      </c>
      <c r="C108" s="44"/>
      <c r="D108" s="68"/>
      <c r="E108" s="69"/>
      <c r="F108" s="46"/>
      <c r="G108" s="300"/>
      <c r="I108" s="304"/>
      <c r="J108" s="304"/>
      <c r="K108" s="304"/>
    </row>
    <row r="109" spans="2:11" s="16" customFormat="1" ht="14.25">
      <c r="B109" s="70" t="s">
        <v>150</v>
      </c>
      <c r="C109" s="71">
        <f>D109/$C$12*2000</f>
        <v>144443.54079412756</v>
      </c>
      <c r="D109" s="72">
        <f>E109*'Key Inputs'!$D$43*$C$15/2000</f>
        <v>632662.70867827872</v>
      </c>
      <c r="E109" s="323">
        <f>CONVERT(53.06,"kg","lbm")</f>
        <v>116.97727631529604</v>
      </c>
      <c r="F109" s="52" t="s">
        <v>45</v>
      </c>
      <c r="G109" s="314" t="s">
        <v>256</v>
      </c>
      <c r="I109" s="304"/>
      <c r="J109" s="304"/>
      <c r="K109" s="304"/>
    </row>
    <row r="110" spans="2:11" s="16" customFormat="1" ht="14.25">
      <c r="B110" s="70" t="s">
        <v>151</v>
      </c>
      <c r="C110" s="49">
        <f>D110/$C$12*2000</f>
        <v>2.7222680134588688</v>
      </c>
      <c r="D110" s="72">
        <f>E110*'Key Inputs'!$D$43*$C$15/2000</f>
        <v>11.923533898949845</v>
      </c>
      <c r="E110" s="324">
        <f>CONVERT(0.001,"kg","lbm")</f>
        <v>2.2046226218487759E-3</v>
      </c>
      <c r="F110" s="52" t="s">
        <v>45</v>
      </c>
      <c r="G110" s="314" t="s">
        <v>94</v>
      </c>
      <c r="I110" s="304"/>
      <c r="J110" s="304"/>
      <c r="K110" s="304"/>
    </row>
    <row r="111" spans="2:11" s="16" customFormat="1" ht="14.25">
      <c r="B111" s="70" t="s">
        <v>152</v>
      </c>
      <c r="C111" s="49">
        <f>D111/$C$12*2000</f>
        <v>0.27222680134588684</v>
      </c>
      <c r="D111" s="72">
        <f>E111*'Key Inputs'!$D$43*$C$15/2000</f>
        <v>1.1923533898949843</v>
      </c>
      <c r="E111" s="325">
        <f>CONVERT(0.0001,"kg","lbm")</f>
        <v>2.2046226218487756E-4</v>
      </c>
      <c r="F111" s="52" t="s">
        <v>45</v>
      </c>
      <c r="G111" s="314" t="s">
        <v>94</v>
      </c>
      <c r="I111" s="304"/>
      <c r="J111" s="304"/>
      <c r="K111" s="304"/>
    </row>
    <row r="112" spans="2:11" s="16" customFormat="1" ht="14.25">
      <c r="B112" s="70" t="s">
        <v>153</v>
      </c>
      <c r="C112" s="71">
        <f>D112/$C$12*2000</f>
        <v>144592.72108126513</v>
      </c>
      <c r="D112" s="73">
        <f>D109*'Key Inputs'!$C$62+D110*'Key Inputs'!$C$63+D111*'Key Inputs'!$C$64</f>
        <v>633316.11833594122</v>
      </c>
      <c r="E112" s="74" t="s">
        <v>46</v>
      </c>
      <c r="F112" s="75" t="s">
        <v>46</v>
      </c>
      <c r="G112" s="300" t="s">
        <v>47</v>
      </c>
      <c r="I112" s="304"/>
      <c r="J112" s="304"/>
      <c r="K112" s="304"/>
    </row>
    <row r="113" spans="2:11" s="18" customFormat="1" ht="6" customHeight="1" thickBot="1">
      <c r="B113" s="38"/>
      <c r="C113" s="76"/>
      <c r="D113" s="77"/>
      <c r="E113" s="78"/>
      <c r="F113" s="78"/>
      <c r="G113" s="299"/>
      <c r="I113" s="307"/>
      <c r="J113" s="307"/>
      <c r="K113" s="307"/>
    </row>
    <row r="114" spans="2:11" s="18" customFormat="1" ht="6" customHeight="1">
      <c r="D114" s="27"/>
      <c r="E114" s="25"/>
      <c r="F114" s="25"/>
      <c r="G114" s="21"/>
      <c r="I114" s="307"/>
      <c r="J114" s="307"/>
      <c r="K114" s="307"/>
    </row>
    <row r="115" spans="2:11" s="11" customFormat="1" ht="15">
      <c r="B115" s="776" t="s">
        <v>259</v>
      </c>
      <c r="C115" s="316"/>
      <c r="D115" s="316"/>
      <c r="E115" s="317"/>
      <c r="F115" s="316"/>
      <c r="G115" s="318"/>
      <c r="I115" s="306"/>
      <c r="J115" s="306"/>
      <c r="K115" s="306"/>
    </row>
    <row r="116" spans="2:11" s="18" customFormat="1" ht="6" customHeight="1" thickBot="1">
      <c r="D116" s="27"/>
      <c r="E116" s="25"/>
      <c r="F116" s="25"/>
      <c r="G116" s="21"/>
      <c r="I116" s="307"/>
      <c r="J116" s="307"/>
      <c r="K116" s="307"/>
    </row>
    <row r="117" spans="2:11" s="18" customFormat="1" ht="6" customHeight="1">
      <c r="B117" s="28"/>
      <c r="C117" s="29"/>
      <c r="D117" s="30"/>
      <c r="E117" s="31"/>
      <c r="F117" s="31"/>
      <c r="G117" s="298"/>
      <c r="I117" s="307"/>
      <c r="J117" s="307"/>
      <c r="K117" s="307"/>
    </row>
    <row r="118" spans="2:11" s="37" customFormat="1" ht="38.25">
      <c r="B118" s="33" t="s">
        <v>32</v>
      </c>
      <c r="C118" s="34" t="s">
        <v>140</v>
      </c>
      <c r="D118" s="34" t="s">
        <v>141</v>
      </c>
      <c r="E118" s="34" t="s">
        <v>139</v>
      </c>
      <c r="F118" s="34" t="s">
        <v>35</v>
      </c>
      <c r="G118" s="35" t="s">
        <v>36</v>
      </c>
      <c r="I118" s="545"/>
      <c r="J118" s="545"/>
      <c r="K118" s="545"/>
    </row>
    <row r="119" spans="2:11" s="18" customFormat="1" ht="6" customHeight="1" thickBot="1">
      <c r="B119" s="38"/>
      <c r="C119" s="39"/>
      <c r="D119" s="40"/>
      <c r="E119" s="41"/>
      <c r="F119" s="41"/>
      <c r="G119" s="299"/>
      <c r="I119" s="307"/>
      <c r="J119" s="307"/>
      <c r="K119" s="307"/>
    </row>
    <row r="120" spans="2:11" s="18" customFormat="1" ht="6" customHeight="1">
      <c r="B120" s="28"/>
      <c r="C120" s="29"/>
      <c r="D120" s="30"/>
      <c r="E120" s="31"/>
      <c r="F120" s="31"/>
      <c r="G120" s="298"/>
      <c r="I120" s="307"/>
      <c r="J120" s="307"/>
      <c r="K120" s="307"/>
    </row>
    <row r="121" spans="2:11" s="16" customFormat="1">
      <c r="B121" s="43" t="s">
        <v>37</v>
      </c>
      <c r="C121" s="44"/>
      <c r="D121" s="45"/>
      <c r="E121" s="46"/>
      <c r="F121" s="46"/>
      <c r="G121" s="300"/>
      <c r="H121" s="304"/>
      <c r="I121" s="304"/>
      <c r="J121" s="304"/>
      <c r="K121" s="304"/>
    </row>
    <row r="122" spans="2:11" s="160" customFormat="1" ht="15" customHeight="1">
      <c r="B122" s="48" t="s">
        <v>227</v>
      </c>
      <c r="C122" s="49">
        <f t="shared" ref="C122" si="14">D122/$C$12*2000</f>
        <v>9.9142940151074956</v>
      </c>
      <c r="D122" s="50">
        <f>E122*$C$16/2000</f>
        <v>43.424607786170832</v>
      </c>
      <c r="E122" s="80">
        <v>3.25</v>
      </c>
      <c r="F122" s="52" t="s">
        <v>39</v>
      </c>
      <c r="G122" s="314" t="s">
        <v>744</v>
      </c>
      <c r="H122" s="310"/>
      <c r="I122" s="310"/>
      <c r="J122" s="310"/>
      <c r="K122" s="310"/>
    </row>
    <row r="123" spans="2:11" s="160" customFormat="1" ht="15" customHeight="1">
      <c r="B123" s="48"/>
      <c r="C123" s="49"/>
      <c r="D123" s="50"/>
      <c r="E123" s="80"/>
      <c r="F123" s="52"/>
      <c r="G123" s="314"/>
      <c r="H123" s="310"/>
      <c r="I123" s="310"/>
      <c r="J123" s="310"/>
      <c r="K123" s="310"/>
    </row>
    <row r="124" spans="2:11" s="16" customFormat="1">
      <c r="B124" s="43" t="s">
        <v>41</v>
      </c>
      <c r="C124" s="44"/>
      <c r="D124" s="54"/>
      <c r="E124" s="56"/>
      <c r="F124" s="57"/>
      <c r="G124" s="300"/>
      <c r="I124" s="304"/>
      <c r="J124" s="304"/>
      <c r="K124" s="304"/>
    </row>
    <row r="125" spans="2:11" s="16" customFormat="1">
      <c r="B125" s="58" t="s">
        <v>42</v>
      </c>
      <c r="C125" s="59"/>
      <c r="D125" s="54"/>
      <c r="E125" s="50"/>
      <c r="F125" s="60"/>
      <c r="G125" s="300"/>
      <c r="I125" s="304"/>
      <c r="J125" s="304"/>
      <c r="K125" s="304"/>
    </row>
    <row r="126" spans="2:11" s="16" customFormat="1">
      <c r="B126" s="61" t="s">
        <v>43</v>
      </c>
      <c r="C126" s="62">
        <f t="shared" ref="C126:C132" si="15">D126/$C$12*2000</f>
        <v>9.1983294596164999E-2</v>
      </c>
      <c r="D126" s="63">
        <f>E126*$C$16/2000</f>
        <v>0.40288683033120271</v>
      </c>
      <c r="E126" s="326">
        <v>3.0152999999999992E-2</v>
      </c>
      <c r="F126" s="46" t="s">
        <v>39</v>
      </c>
      <c r="G126" s="300" t="s">
        <v>266</v>
      </c>
      <c r="I126" s="304"/>
      <c r="J126" s="304"/>
      <c r="K126" s="304"/>
    </row>
    <row r="127" spans="2:11" s="16" customFormat="1">
      <c r="B127" s="61"/>
      <c r="C127" s="62"/>
      <c r="D127" s="63"/>
      <c r="E127" s="63"/>
      <c r="F127" s="46"/>
      <c r="G127" s="300"/>
      <c r="I127" s="304"/>
      <c r="J127" s="304"/>
      <c r="K127" s="304"/>
    </row>
    <row r="128" spans="2:11" s="16" customFormat="1">
      <c r="B128" s="58" t="s">
        <v>261</v>
      </c>
      <c r="C128" s="62"/>
      <c r="D128" s="63"/>
      <c r="E128" s="63"/>
      <c r="F128" s="46"/>
      <c r="G128" s="300"/>
      <c r="I128" s="304"/>
      <c r="J128" s="304"/>
      <c r="K128" s="304"/>
    </row>
    <row r="129" spans="2:11" s="16" customFormat="1">
      <c r="B129" s="61" t="s">
        <v>267</v>
      </c>
      <c r="C129" s="49">
        <f t="shared" ref="C129" si="16">D129/$C$12*2000</f>
        <v>13.910517141196978</v>
      </c>
      <c r="D129" s="89">
        <f>E129*$C$16/2000</f>
        <v>60.928065078442764</v>
      </c>
      <c r="E129" s="89">
        <v>4.5599999999999996</v>
      </c>
      <c r="F129" s="46" t="s">
        <v>39</v>
      </c>
      <c r="G129" s="300" t="s">
        <v>270</v>
      </c>
      <c r="I129" s="304"/>
      <c r="J129" s="304"/>
      <c r="K129" s="304"/>
    </row>
    <row r="130" spans="2:11" s="16" customFormat="1" ht="14.25">
      <c r="B130" s="61" t="s">
        <v>268</v>
      </c>
      <c r="C130" s="62">
        <f t="shared" si="15"/>
        <v>0.1006682161533992</v>
      </c>
      <c r="D130" s="63">
        <f>E130*$C$16/2000</f>
        <v>0.44092678675188846</v>
      </c>
      <c r="E130" s="63">
        <v>3.3000000000000002E-2</v>
      </c>
      <c r="F130" s="46" t="s">
        <v>39</v>
      </c>
      <c r="G130" s="300" t="s">
        <v>270</v>
      </c>
      <c r="I130" s="304"/>
      <c r="J130" s="304"/>
      <c r="K130" s="304"/>
    </row>
    <row r="131" spans="2:11" s="16" customFormat="1">
      <c r="B131" s="61" t="s">
        <v>262</v>
      </c>
      <c r="C131" s="62">
        <f t="shared" si="15"/>
        <v>0.19828588030214991</v>
      </c>
      <c r="D131" s="63">
        <f t="shared" ref="D131:D132" si="17">E131*$C$16/2000</f>
        <v>0.86849215572341665</v>
      </c>
      <c r="E131" s="63">
        <v>6.5000000000000002E-2</v>
      </c>
      <c r="F131" s="46" t="s">
        <v>39</v>
      </c>
      <c r="G131" s="300" t="s">
        <v>270</v>
      </c>
      <c r="I131" s="304"/>
      <c r="J131" s="304"/>
      <c r="K131" s="304"/>
    </row>
    <row r="132" spans="2:11" s="16" customFormat="1" ht="14.25">
      <c r="B132" s="61" t="s">
        <v>269</v>
      </c>
      <c r="C132" s="62">
        <f t="shared" si="15"/>
        <v>0.47283556072051125</v>
      </c>
      <c r="D132" s="63">
        <f t="shared" si="17"/>
        <v>2.0710197559558394</v>
      </c>
      <c r="E132" s="63">
        <v>0.155</v>
      </c>
      <c r="F132" s="46" t="s">
        <v>39</v>
      </c>
      <c r="G132" s="300" t="s">
        <v>270</v>
      </c>
      <c r="I132" s="304"/>
      <c r="J132" s="304"/>
      <c r="K132" s="304"/>
    </row>
    <row r="133" spans="2:11" s="16" customFormat="1">
      <c r="B133" s="58"/>
      <c r="C133" s="64"/>
      <c r="D133" s="65"/>
      <c r="E133" s="50"/>
      <c r="F133" s="60"/>
      <c r="G133" s="300"/>
      <c r="I133" s="304"/>
      <c r="J133" s="304"/>
      <c r="K133" s="304"/>
    </row>
    <row r="134" spans="2:11" s="16" customFormat="1">
      <c r="B134" s="43" t="s">
        <v>44</v>
      </c>
      <c r="C134" s="44"/>
      <c r="D134" s="68"/>
      <c r="E134" s="69"/>
      <c r="F134" s="46"/>
      <c r="G134" s="300"/>
      <c r="I134" s="304"/>
      <c r="J134" s="304"/>
      <c r="K134" s="304"/>
    </row>
    <row r="135" spans="2:11" s="16" customFormat="1" ht="14.25">
      <c r="B135" s="70" t="s">
        <v>150</v>
      </c>
      <c r="C135" s="71">
        <f>D135/$C$12*2000</f>
        <v>162676.34748794383</v>
      </c>
      <c r="D135" s="72">
        <f>E135*'Key Inputs'!$D$45*$C$16/2000</f>
        <v>712522.40199719404</v>
      </c>
      <c r="E135" s="323">
        <f>CONVERT(46.85,"kg","lbm")</f>
        <v>103.28656983361515</v>
      </c>
      <c r="F135" s="52" t="s">
        <v>45</v>
      </c>
      <c r="G135" s="314" t="s">
        <v>280</v>
      </c>
      <c r="I135" s="304"/>
      <c r="J135" s="304"/>
      <c r="K135" s="304"/>
    </row>
    <row r="136" spans="2:11" s="16" customFormat="1" ht="14.25">
      <c r="B136" s="70" t="s">
        <v>151</v>
      </c>
      <c r="C136" s="49">
        <f>D136/$C$12*2000</f>
        <v>1.6666947021176746</v>
      </c>
      <c r="D136" s="72">
        <f>E136*'Key Inputs'!$D$45*$C$16/2000</f>
        <v>7.3001227952754144</v>
      </c>
      <c r="E136" s="324">
        <f>CONVERT(0.00048,"kg","lbm")</f>
        <v>1.0582188584874123E-3</v>
      </c>
      <c r="F136" s="52" t="s">
        <v>45</v>
      </c>
      <c r="G136" s="314" t="s">
        <v>281</v>
      </c>
      <c r="I136" s="304"/>
      <c r="J136" s="304"/>
      <c r="K136" s="304"/>
    </row>
    <row r="137" spans="2:11" s="16" customFormat="1" ht="14.25">
      <c r="B137" s="70" t="s">
        <v>152</v>
      </c>
      <c r="C137" s="49">
        <f>D137/$C$12*2000</f>
        <v>0.34722806294118214</v>
      </c>
      <c r="D137" s="72">
        <f>E137*'Key Inputs'!$D$45*$C$16/2000</f>
        <v>1.5208589156823777</v>
      </c>
      <c r="E137" s="325">
        <f>CONVERT(0.0001,"kg","lbm")</f>
        <v>2.2046226218487756E-4</v>
      </c>
      <c r="F137" s="52" t="s">
        <v>45</v>
      </c>
      <c r="G137" s="314" t="s">
        <v>281</v>
      </c>
      <c r="I137" s="304"/>
      <c r="J137" s="304"/>
      <c r="K137" s="304"/>
    </row>
    <row r="138" spans="2:11" s="16" customFormat="1" ht="14.25">
      <c r="B138" s="70" t="s">
        <v>153</v>
      </c>
      <c r="C138" s="71">
        <f>D138/$C$12*2000</f>
        <v>162821.48881825327</v>
      </c>
      <c r="D138" s="73">
        <f>D135*'Key Inputs'!$C$62+D136*'Key Inputs'!$C$63+D137*'Key Inputs'!$C$64</f>
        <v>713158.12102394935</v>
      </c>
      <c r="E138" s="74" t="s">
        <v>46</v>
      </c>
      <c r="F138" s="75" t="s">
        <v>46</v>
      </c>
      <c r="G138" s="300" t="s">
        <v>47</v>
      </c>
      <c r="I138" s="304"/>
      <c r="J138" s="304"/>
      <c r="K138" s="304"/>
    </row>
    <row r="139" spans="2:11" s="18" customFormat="1" ht="6" customHeight="1" thickBot="1">
      <c r="B139" s="38"/>
      <c r="C139" s="76"/>
      <c r="D139" s="77"/>
      <c r="E139" s="78"/>
      <c r="F139" s="78"/>
      <c r="G139" s="299"/>
      <c r="I139" s="307"/>
      <c r="J139" s="307"/>
      <c r="K139" s="307"/>
    </row>
    <row r="140" spans="2:11" ht="6" customHeight="1">
      <c r="H140" s="1"/>
    </row>
    <row r="141" spans="2:11" s="11" customFormat="1" ht="15">
      <c r="B141" s="776" t="s">
        <v>278</v>
      </c>
      <c r="C141" s="316"/>
      <c r="D141" s="316"/>
      <c r="E141" s="317"/>
      <c r="F141" s="316"/>
      <c r="G141" s="318"/>
      <c r="I141" s="306"/>
      <c r="J141" s="306"/>
      <c r="K141" s="306"/>
    </row>
    <row r="142" spans="2:11" s="18" customFormat="1" ht="6" customHeight="1" thickBot="1">
      <c r="D142" s="27"/>
      <c r="E142" s="25"/>
      <c r="F142" s="25"/>
      <c r="G142" s="21"/>
      <c r="I142" s="307"/>
      <c r="J142" s="307"/>
      <c r="K142" s="307"/>
    </row>
    <row r="143" spans="2:11" s="18" customFormat="1" ht="6" customHeight="1">
      <c r="B143" s="28"/>
      <c r="C143" s="29"/>
      <c r="D143" s="30"/>
      <c r="E143" s="31"/>
      <c r="F143" s="31"/>
      <c r="G143" s="298"/>
      <c r="I143" s="307"/>
      <c r="J143" s="307"/>
      <c r="K143" s="307"/>
    </row>
    <row r="144" spans="2:11" s="37" customFormat="1" ht="38.25">
      <c r="B144" s="33" t="s">
        <v>32</v>
      </c>
      <c r="C144" s="34" t="s">
        <v>140</v>
      </c>
      <c r="D144" s="34" t="s">
        <v>141</v>
      </c>
      <c r="E144" s="34" t="s">
        <v>139</v>
      </c>
      <c r="F144" s="34" t="s">
        <v>35</v>
      </c>
      <c r="G144" s="35" t="s">
        <v>36</v>
      </c>
      <c r="I144" s="545"/>
      <c r="J144" s="545"/>
      <c r="K144" s="545"/>
    </row>
    <row r="145" spans="2:11" s="18" customFormat="1" ht="6" customHeight="1" thickBot="1">
      <c r="B145" s="38"/>
      <c r="C145" s="39"/>
      <c r="D145" s="40"/>
      <c r="E145" s="41"/>
      <c r="F145" s="41"/>
      <c r="G145" s="299"/>
      <c r="I145" s="307"/>
      <c r="J145" s="307"/>
      <c r="K145" s="307"/>
    </row>
    <row r="146" spans="2:11" s="18" customFormat="1" ht="6" customHeight="1">
      <c r="B146" s="28"/>
      <c r="C146" s="29"/>
      <c r="D146" s="30"/>
      <c r="E146" s="31"/>
      <c r="F146" s="31"/>
      <c r="G146" s="298"/>
      <c r="I146" s="307"/>
      <c r="J146" s="307"/>
      <c r="K146" s="307"/>
    </row>
    <row r="147" spans="2:11" s="16" customFormat="1">
      <c r="B147" s="43" t="s">
        <v>37</v>
      </c>
      <c r="C147" s="44"/>
      <c r="D147" s="45"/>
      <c r="E147" s="46"/>
      <c r="F147" s="46"/>
      <c r="G147" s="300"/>
      <c r="H147" s="304"/>
      <c r="I147" s="304"/>
      <c r="J147" s="304"/>
      <c r="K147" s="304"/>
    </row>
    <row r="148" spans="2:11" s="160" customFormat="1" ht="15" customHeight="1">
      <c r="B148" s="48" t="s">
        <v>227</v>
      </c>
      <c r="C148" s="49">
        <f t="shared" ref="C148" si="18">D148/$C$12*2000</f>
        <v>0.17849999999999999</v>
      </c>
      <c r="D148" s="50">
        <f>E148*$C$17/2000</f>
        <v>0.78183000000000002</v>
      </c>
      <c r="E148" s="80">
        <v>1.0200000000000001E-2</v>
      </c>
      <c r="F148" s="52" t="s">
        <v>39</v>
      </c>
      <c r="G148" s="314" t="s">
        <v>744</v>
      </c>
      <c r="H148" s="310"/>
      <c r="I148" s="310"/>
      <c r="J148" s="310"/>
      <c r="K148" s="310"/>
    </row>
    <row r="149" spans="2:11" s="160" customFormat="1" ht="15" customHeight="1">
      <c r="B149" s="48"/>
      <c r="C149" s="49"/>
      <c r="D149" s="50"/>
      <c r="E149" s="80"/>
      <c r="F149" s="52"/>
      <c r="G149" s="314"/>
      <c r="H149" s="310"/>
      <c r="I149" s="310"/>
      <c r="J149" s="310"/>
      <c r="K149" s="310"/>
    </row>
    <row r="150" spans="2:11" s="16" customFormat="1">
      <c r="B150" s="43" t="s">
        <v>41</v>
      </c>
      <c r="C150" s="44"/>
      <c r="D150" s="54"/>
      <c r="E150" s="56"/>
      <c r="F150" s="57"/>
      <c r="G150" s="300"/>
      <c r="I150" s="304"/>
      <c r="J150" s="304"/>
      <c r="K150" s="304"/>
    </row>
    <row r="151" spans="2:11" s="16" customFormat="1">
      <c r="B151" s="58" t="s">
        <v>86</v>
      </c>
      <c r="C151" s="49"/>
      <c r="D151" s="50"/>
      <c r="E151" s="80"/>
      <c r="F151" s="52"/>
      <c r="G151" s="301"/>
      <c r="I151" s="304"/>
      <c r="J151" s="304"/>
      <c r="K151" s="304"/>
    </row>
    <row r="152" spans="2:11" s="16" customFormat="1">
      <c r="B152" s="48" t="s">
        <v>234</v>
      </c>
      <c r="C152" s="62">
        <f>$C$88*E152%</f>
        <v>7.9341438526912177E-9</v>
      </c>
      <c r="D152" s="62">
        <f>$D$88*E152%</f>
        <v>3.4751550074787531E-8</v>
      </c>
      <c r="E152" s="82">
        <v>9.7000000000000005E-4</v>
      </c>
      <c r="F152" s="52" t="s">
        <v>245</v>
      </c>
      <c r="G152" s="301" t="s">
        <v>246</v>
      </c>
      <c r="I152" s="304"/>
      <c r="J152" s="304"/>
      <c r="K152" s="304"/>
    </row>
    <row r="153" spans="2:11" s="16" customFormat="1">
      <c r="B153" s="48" t="s">
        <v>235</v>
      </c>
      <c r="C153" s="62">
        <f t="shared" ref="C153:C163" si="19">$C$88*E153%</f>
        <v>9.8154356940509903E-10</v>
      </c>
      <c r="D153" s="62">
        <f t="shared" ref="D153:D163" si="20">$D$88*E153%</f>
        <v>4.2991608339943332E-9</v>
      </c>
      <c r="E153" s="82">
        <v>1.2E-4</v>
      </c>
      <c r="F153" s="52" t="s">
        <v>245</v>
      </c>
      <c r="G153" s="301" t="s">
        <v>246</v>
      </c>
      <c r="I153" s="304"/>
      <c r="J153" s="304"/>
      <c r="K153" s="304"/>
    </row>
    <row r="154" spans="2:11" s="16" customFormat="1">
      <c r="B154" s="48" t="s">
        <v>236</v>
      </c>
      <c r="C154" s="62">
        <f t="shared" si="19"/>
        <v>9.8154356940509903E-10</v>
      </c>
      <c r="D154" s="62">
        <f t="shared" si="20"/>
        <v>4.2991608339943332E-9</v>
      </c>
      <c r="E154" s="82">
        <v>1.2E-4</v>
      </c>
      <c r="F154" s="52" t="s">
        <v>245</v>
      </c>
      <c r="G154" s="301" t="s">
        <v>246</v>
      </c>
      <c r="I154" s="304"/>
      <c r="J154" s="304"/>
      <c r="K154" s="304"/>
    </row>
    <row r="155" spans="2:11" s="16" customFormat="1">
      <c r="B155" s="48" t="s">
        <v>237</v>
      </c>
      <c r="C155" s="62">
        <f t="shared" si="19"/>
        <v>2.6992448158640227E-9</v>
      </c>
      <c r="D155" s="62">
        <f t="shared" si="20"/>
        <v>1.1822692293484418E-8</v>
      </c>
      <c r="E155" s="82">
        <v>3.3E-4</v>
      </c>
      <c r="F155" s="52" t="s">
        <v>245</v>
      </c>
      <c r="G155" s="301" t="s">
        <v>246</v>
      </c>
      <c r="I155" s="304"/>
      <c r="J155" s="304"/>
      <c r="K155" s="304"/>
    </row>
    <row r="156" spans="2:11" s="16" customFormat="1">
      <c r="B156" s="48" t="s">
        <v>238</v>
      </c>
      <c r="C156" s="62">
        <f t="shared" si="19"/>
        <v>1.3324453954674221E-7</v>
      </c>
      <c r="D156" s="62">
        <f t="shared" si="20"/>
        <v>5.8361108321473077E-7</v>
      </c>
      <c r="E156" s="82">
        <v>1.6289999999999999E-2</v>
      </c>
      <c r="F156" s="52" t="s">
        <v>245</v>
      </c>
      <c r="G156" s="301" t="s">
        <v>246</v>
      </c>
      <c r="I156" s="304"/>
      <c r="J156" s="304"/>
      <c r="K156" s="304"/>
    </row>
    <row r="157" spans="2:11" s="16" customFormat="1">
      <c r="B157" s="48" t="s">
        <v>239</v>
      </c>
      <c r="C157" s="62">
        <f t="shared" si="19"/>
        <v>2.2084730311614728E-9</v>
      </c>
      <c r="D157" s="62">
        <f t="shared" si="20"/>
        <v>9.6731118764872514E-9</v>
      </c>
      <c r="E157" s="82">
        <v>2.7E-4</v>
      </c>
      <c r="F157" s="52" t="s">
        <v>245</v>
      </c>
      <c r="G157" s="301" t="s">
        <v>246</v>
      </c>
      <c r="I157" s="304"/>
      <c r="J157" s="304"/>
      <c r="K157" s="304"/>
    </row>
    <row r="158" spans="2:11" s="16" customFormat="1">
      <c r="B158" s="48" t="s">
        <v>91</v>
      </c>
      <c r="C158" s="62">
        <f t="shared" si="19"/>
        <v>5.6929527025495744E-8</v>
      </c>
      <c r="D158" s="62">
        <f t="shared" si="20"/>
        <v>2.4935132837167133E-7</v>
      </c>
      <c r="E158" s="82">
        <v>6.96E-3</v>
      </c>
      <c r="F158" s="52" t="s">
        <v>245</v>
      </c>
      <c r="G158" s="301" t="s">
        <v>246</v>
      </c>
      <c r="I158" s="304"/>
      <c r="J158" s="304"/>
      <c r="K158" s="304"/>
    </row>
    <row r="159" spans="2:11" s="16" customFormat="1">
      <c r="B159" s="48" t="s">
        <v>240</v>
      </c>
      <c r="C159" s="62">
        <f t="shared" si="19"/>
        <v>2.7325355019263453E-6</v>
      </c>
      <c r="D159" s="62">
        <f t="shared" si="20"/>
        <v>1.1968505498437393E-5</v>
      </c>
      <c r="E159" s="82">
        <v>0.33406999999999998</v>
      </c>
      <c r="F159" s="52" t="s">
        <v>245</v>
      </c>
      <c r="G159" s="301" t="s">
        <v>246</v>
      </c>
      <c r="I159" s="304"/>
      <c r="J159" s="304"/>
      <c r="K159" s="304"/>
    </row>
    <row r="160" spans="2:11" s="16" customFormat="1">
      <c r="B160" s="48" t="s">
        <v>241</v>
      </c>
      <c r="C160" s="62">
        <f t="shared" si="19"/>
        <v>2.75650152407932E-12</v>
      </c>
      <c r="D160" s="62">
        <f t="shared" si="20"/>
        <v>1.2073476675467421E-11</v>
      </c>
      <c r="E160" s="82">
        <v>3.3700000000000001E-7</v>
      </c>
      <c r="F160" s="52" t="s">
        <v>245</v>
      </c>
      <c r="G160" s="301" t="s">
        <v>246</v>
      </c>
      <c r="I160" s="304"/>
      <c r="J160" s="304"/>
      <c r="K160" s="304"/>
    </row>
    <row r="161" spans="2:11" s="16" customFormat="1">
      <c r="B161" s="48" t="s">
        <v>242</v>
      </c>
      <c r="C161" s="62">
        <f t="shared" si="19"/>
        <v>1.3905200566572237E-9</v>
      </c>
      <c r="D161" s="62">
        <f t="shared" si="20"/>
        <v>6.0904778481586393E-9</v>
      </c>
      <c r="E161" s="82">
        <v>1.7000000000000001E-4</v>
      </c>
      <c r="F161" s="52" t="s">
        <v>245</v>
      </c>
      <c r="G161" s="301" t="s">
        <v>246</v>
      </c>
      <c r="I161" s="304"/>
      <c r="J161" s="304"/>
      <c r="K161" s="304"/>
    </row>
    <row r="162" spans="2:11" s="16" customFormat="1">
      <c r="B162" s="48" t="s">
        <v>243</v>
      </c>
      <c r="C162" s="62">
        <f t="shared" si="19"/>
        <v>9.8154356940509903E-10</v>
      </c>
      <c r="D162" s="62">
        <f t="shared" si="20"/>
        <v>4.2991608339943332E-9</v>
      </c>
      <c r="E162" s="82">
        <v>1.2E-4</v>
      </c>
      <c r="F162" s="52" t="s">
        <v>245</v>
      </c>
      <c r="G162" s="301" t="s">
        <v>246</v>
      </c>
      <c r="I162" s="304"/>
      <c r="J162" s="304"/>
      <c r="K162" s="304"/>
    </row>
    <row r="163" spans="2:11" s="16" customFormat="1">
      <c r="B163" s="48" t="s">
        <v>244</v>
      </c>
      <c r="C163" s="62">
        <f t="shared" si="19"/>
        <v>1.7320154235127478E-6</v>
      </c>
      <c r="D163" s="62">
        <f t="shared" si="20"/>
        <v>7.5862275549858346E-6</v>
      </c>
      <c r="E163" s="82">
        <v>0.21174999999999999</v>
      </c>
      <c r="F163" s="52" t="s">
        <v>245</v>
      </c>
      <c r="G163" s="301" t="s">
        <v>246</v>
      </c>
      <c r="I163" s="304"/>
      <c r="J163" s="304"/>
      <c r="K163" s="304"/>
    </row>
    <row r="164" spans="2:11" s="16" customFormat="1">
      <c r="B164" s="58"/>
      <c r="C164" s="64"/>
      <c r="D164" s="65"/>
      <c r="E164" s="50"/>
      <c r="F164" s="60"/>
      <c r="G164" s="300"/>
      <c r="I164" s="304"/>
      <c r="J164" s="304"/>
      <c r="K164" s="304"/>
    </row>
    <row r="165" spans="2:11" s="16" customFormat="1">
      <c r="B165" s="43" t="s">
        <v>44</v>
      </c>
      <c r="C165" s="44"/>
      <c r="D165" s="68"/>
      <c r="E165" s="69"/>
      <c r="F165" s="46"/>
      <c r="G165" s="300"/>
      <c r="I165" s="304"/>
      <c r="J165" s="304"/>
      <c r="K165" s="304"/>
    </row>
    <row r="166" spans="2:11" s="16" customFormat="1" ht="14.25">
      <c r="B166" s="70" t="s">
        <v>150</v>
      </c>
      <c r="C166" s="71">
        <f>D166/$C$12*2000</f>
        <v>952516.02226025087</v>
      </c>
      <c r="D166" s="72">
        <f>E166*'Key Inputs'!$D$45*$C$16/2000</f>
        <v>4172020.1774998992</v>
      </c>
      <c r="E166" s="323">
        <f>CONVERT(274.32,"kg","lbm")</f>
        <v>604.77207762555622</v>
      </c>
      <c r="F166" s="52" t="s">
        <v>45</v>
      </c>
      <c r="G166" s="314" t="s">
        <v>282</v>
      </c>
      <c r="I166" s="304"/>
      <c r="J166" s="304"/>
      <c r="K166" s="304"/>
    </row>
    <row r="167" spans="2:11" s="16" customFormat="1" ht="14.25">
      <c r="B167" s="70" t="s">
        <v>151</v>
      </c>
      <c r="C167" s="49">
        <f>D167/$C$12*2000</f>
        <v>7.6390173847060053E-2</v>
      </c>
      <c r="D167" s="72">
        <f>E167*'Key Inputs'!$D$45*$C$16/2000</f>
        <v>0.33458896145012307</v>
      </c>
      <c r="E167" s="325">
        <f>CONVERT(0.000022,"kg","lbm")</f>
        <v>4.8501697680673063E-5</v>
      </c>
      <c r="F167" s="52" t="s">
        <v>45</v>
      </c>
      <c r="G167" s="314" t="s">
        <v>103</v>
      </c>
      <c r="I167" s="304"/>
      <c r="J167" s="304"/>
      <c r="K167" s="304"/>
    </row>
    <row r="168" spans="2:11" s="16" customFormat="1" ht="14.25">
      <c r="B168" s="70" t="s">
        <v>152</v>
      </c>
      <c r="C168" s="49">
        <f>D168/$C$12*2000</f>
        <v>0.34722806294118214</v>
      </c>
      <c r="D168" s="72">
        <f>E168*'Key Inputs'!$D$45*$C$16/2000</f>
        <v>1.5208589156823777</v>
      </c>
      <c r="E168" s="325">
        <f>CONVERT(0.0001,"kg","lbm")</f>
        <v>2.2046226218487756E-4</v>
      </c>
      <c r="F168" s="52" t="s">
        <v>45</v>
      </c>
      <c r="G168" s="314" t="s">
        <v>103</v>
      </c>
      <c r="I168" s="304"/>
      <c r="J168" s="304"/>
      <c r="K168" s="304"/>
    </row>
    <row r="169" spans="2:11" s="16" customFormat="1" ht="14.25">
      <c r="B169" s="70" t="s">
        <v>153</v>
      </c>
      <c r="C169" s="71">
        <f>D169/$C$12*2000</f>
        <v>952621.40597735357</v>
      </c>
      <c r="D169" s="73">
        <f>D166*'Key Inputs'!$C$62+D167*'Key Inputs'!$C$63+D168*'Key Inputs'!$C$64</f>
        <v>4172481.7581808087</v>
      </c>
      <c r="E169" s="74" t="s">
        <v>46</v>
      </c>
      <c r="F169" s="75" t="s">
        <v>46</v>
      </c>
      <c r="G169" s="300" t="s">
        <v>47</v>
      </c>
      <c r="I169" s="304"/>
      <c r="J169" s="304"/>
      <c r="K169" s="304"/>
    </row>
    <row r="170" spans="2:11" s="18" customFormat="1" ht="6" customHeight="1" thickBot="1">
      <c r="B170" s="38"/>
      <c r="C170" s="76"/>
      <c r="D170" s="77"/>
      <c r="E170" s="78"/>
      <c r="F170" s="78"/>
      <c r="G170" s="299"/>
      <c r="I170" s="307"/>
      <c r="J170" s="307"/>
      <c r="K170" s="307"/>
    </row>
  </sheetData>
  <mergeCells count="2">
    <mergeCell ref="I22:K22"/>
    <mergeCell ref="I60:K60"/>
  </mergeCells>
  <pageMargins left="0.2" right="0.2" top="0.25" bottom="0.25" header="0.05" footer="0.05"/>
  <pageSetup scale="60" fitToHeight="3" orientation="portrait" horizontalDpi="1200" verticalDpi="1200" r:id="rId1"/>
  <rowBreaks count="1" manualBreakCount="1">
    <brk id="114"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45"/>
  <sheetViews>
    <sheetView topLeftCell="A25" zoomScaleNormal="100" zoomScaleSheetLayoutView="100" workbookViewId="0">
      <selection activeCell="C9" sqref="C9"/>
    </sheetView>
  </sheetViews>
  <sheetFormatPr defaultColWidth="9.140625" defaultRowHeight="12.75"/>
  <cols>
    <col min="1" max="1" width="2.42578125" style="90" customWidth="1"/>
    <col min="2" max="2" width="32.85546875" style="90" customWidth="1"/>
    <col min="3" max="6" width="11.7109375" style="90" customWidth="1"/>
    <col min="7" max="7" width="44.7109375" style="90" bestFit="1" customWidth="1"/>
    <col min="8" max="16384" width="9.140625" style="90"/>
  </cols>
  <sheetData>
    <row r="1" spans="2:11" s="1" customFormat="1" ht="11.25" customHeight="1"/>
    <row r="2" spans="2:11" s="6" customFormat="1">
      <c r="B2" s="5" t="str">
        <f>'Key Inputs'!B2</f>
        <v>Company Name:</v>
      </c>
      <c r="C2" s="279" t="str">
        <f>'Key Inputs'!C2</f>
        <v>U. S. Steel Corp.</v>
      </c>
      <c r="F2" s="5"/>
    </row>
    <row r="3" spans="2:11" s="6" customFormat="1">
      <c r="B3" s="5" t="str">
        <f>'Key Inputs'!B3</f>
        <v>Site Name:</v>
      </c>
      <c r="C3" s="279" t="str">
        <f>'Key Inputs'!C3</f>
        <v>Edgar Thomson Plant</v>
      </c>
      <c r="F3" s="5"/>
    </row>
    <row r="4" spans="2:11" s="6" customFormat="1">
      <c r="B4" s="5" t="str">
        <f>'Key Inputs'!B4</f>
        <v>Description:</v>
      </c>
      <c r="C4" s="279" t="str">
        <f>'Key Inputs'!C4</f>
        <v>Title V Permit Renewal</v>
      </c>
      <c r="F4" s="5"/>
    </row>
    <row r="5" spans="2:11" s="6" customFormat="1">
      <c r="B5" s="5" t="str">
        <f>'Key Inputs'!B5</f>
        <v>Date:</v>
      </c>
      <c r="C5" s="281" t="str">
        <f>'Key Inputs'!C5</f>
        <v>10/7/2020 - DRAFT</v>
      </c>
      <c r="F5" s="5"/>
    </row>
    <row r="6" spans="2:11" s="6" customFormat="1">
      <c r="B6" s="5"/>
      <c r="C6" s="183"/>
      <c r="D6" s="5"/>
      <c r="F6" s="5"/>
    </row>
    <row r="7" spans="2:11" s="11" customFormat="1">
      <c r="B7" s="10" t="s">
        <v>350</v>
      </c>
      <c r="C7" s="10"/>
      <c r="D7" s="10"/>
      <c r="F7" s="10"/>
    </row>
    <row r="8" spans="2:11" s="16" customFormat="1">
      <c r="B8" s="14"/>
      <c r="C8" s="15"/>
    </row>
    <row r="9" spans="2:11" s="18" customFormat="1">
      <c r="B9" s="20" t="s">
        <v>25</v>
      </c>
      <c r="C9" s="20" t="s">
        <v>351</v>
      </c>
      <c r="D9" s="20"/>
      <c r="E9" s="21"/>
    </row>
    <row r="10" spans="2:11" s="18" customFormat="1">
      <c r="B10" s="20" t="s">
        <v>56</v>
      </c>
      <c r="C10" s="23" t="s">
        <v>207</v>
      </c>
      <c r="D10" s="20"/>
      <c r="E10" s="21"/>
    </row>
    <row r="11" spans="2:11" s="18" customFormat="1">
      <c r="B11" s="20" t="s">
        <v>291</v>
      </c>
      <c r="C11" s="23" t="s">
        <v>16</v>
      </c>
      <c r="D11" s="20"/>
      <c r="E11" s="21"/>
    </row>
    <row r="12" spans="2:11" s="18" customFormat="1">
      <c r="B12" s="20" t="s">
        <v>26</v>
      </c>
      <c r="C12" s="24">
        <f>'Key Inputs'!$G$22</f>
        <v>8760</v>
      </c>
      <c r="D12" s="21" t="s">
        <v>10</v>
      </c>
      <c r="E12" s="21"/>
      <c r="G12" s="87"/>
    </row>
    <row r="13" spans="2:11" s="18" customFormat="1">
      <c r="B13" s="20" t="s">
        <v>95</v>
      </c>
      <c r="C13" s="24">
        <v>581565</v>
      </c>
      <c r="D13" s="21" t="s">
        <v>133</v>
      </c>
      <c r="E13" s="21"/>
      <c r="G13" s="87"/>
      <c r="H13" s="307" t="s">
        <v>352</v>
      </c>
    </row>
    <row r="14" spans="2:11" s="18" customFormat="1">
      <c r="B14" s="186"/>
      <c r="C14" s="169"/>
      <c r="D14" s="168"/>
      <c r="G14" s="87"/>
    </row>
    <row r="15" spans="2:11" s="11" customFormat="1">
      <c r="B15" s="329" t="s">
        <v>353</v>
      </c>
      <c r="C15" s="329"/>
      <c r="D15" s="329"/>
      <c r="E15" s="330"/>
      <c r="F15" s="329"/>
      <c r="G15" s="331"/>
      <c r="H15" s="306"/>
      <c r="I15" s="306"/>
      <c r="J15" s="306"/>
      <c r="K15" s="306"/>
    </row>
    <row r="16" spans="2:11">
      <c r="B16" s="114" t="s">
        <v>356</v>
      </c>
      <c r="C16" s="132">
        <v>4.9400000000000004</v>
      </c>
      <c r="D16" s="91" t="s">
        <v>13</v>
      </c>
    </row>
    <row r="17" spans="2:8">
      <c r="B17" s="114" t="s">
        <v>355</v>
      </c>
      <c r="C17" s="351">
        <v>6.5250000000000004</v>
      </c>
      <c r="D17" s="91" t="s">
        <v>132</v>
      </c>
    </row>
    <row r="18" spans="2:8">
      <c r="B18" s="114" t="s">
        <v>354</v>
      </c>
      <c r="C18" s="123">
        <v>0.74</v>
      </c>
      <c r="D18" s="90" t="s">
        <v>136</v>
      </c>
    </row>
    <row r="19" spans="2:8">
      <c r="B19" s="114" t="s">
        <v>354</v>
      </c>
      <c r="C19" s="132">
        <v>0.35</v>
      </c>
      <c r="D19" s="91" t="s">
        <v>137</v>
      </c>
      <c r="E19" s="91"/>
    </row>
    <row r="20" spans="2:8">
      <c r="B20" s="114" t="s">
        <v>354</v>
      </c>
      <c r="C20" s="132">
        <v>5.2999999999999999E-2</v>
      </c>
      <c r="D20" s="91" t="s">
        <v>138</v>
      </c>
      <c r="E20" s="91"/>
    </row>
    <row r="21" spans="2:8">
      <c r="B21" s="114" t="s">
        <v>14</v>
      </c>
      <c r="C21" s="123" t="s">
        <v>27</v>
      </c>
    </row>
    <row r="22" spans="2:8">
      <c r="B22" s="114" t="s">
        <v>63</v>
      </c>
      <c r="C22" s="123">
        <v>0</v>
      </c>
      <c r="D22" s="90" t="s">
        <v>13</v>
      </c>
    </row>
    <row r="23" spans="2:8" ht="8.25" customHeight="1" thickBot="1">
      <c r="B23" s="114"/>
    </row>
    <row r="24" spans="2:8" s="18" customFormat="1" ht="6" customHeight="1">
      <c r="B24" s="28"/>
      <c r="C24" s="29"/>
      <c r="D24" s="30"/>
      <c r="E24" s="31"/>
      <c r="F24" s="31"/>
      <c r="G24" s="32"/>
    </row>
    <row r="25" spans="2:8" s="37" customFormat="1" ht="38.25">
      <c r="B25" s="33" t="s">
        <v>32</v>
      </c>
      <c r="C25" s="34" t="s">
        <v>97</v>
      </c>
      <c r="D25" s="34" t="s">
        <v>33</v>
      </c>
      <c r="E25" s="34" t="s">
        <v>34</v>
      </c>
      <c r="F25" s="34" t="s">
        <v>35</v>
      </c>
      <c r="G25" s="35" t="s">
        <v>36</v>
      </c>
    </row>
    <row r="26" spans="2:8" s="18" customFormat="1" ht="6" customHeight="1" thickBot="1">
      <c r="B26" s="38"/>
      <c r="C26" s="39"/>
      <c r="D26" s="40"/>
      <c r="E26" s="41"/>
      <c r="F26" s="41"/>
      <c r="G26" s="42"/>
    </row>
    <row r="27" spans="2:8" s="18" customFormat="1" ht="6" customHeight="1">
      <c r="B27" s="28"/>
      <c r="C27" s="29"/>
      <c r="D27" s="30"/>
      <c r="E27" s="31"/>
      <c r="F27" s="31"/>
      <c r="G27" s="32"/>
    </row>
    <row r="28" spans="2:8" s="16" customFormat="1">
      <c r="B28" s="43" t="s">
        <v>37</v>
      </c>
      <c r="C28" s="44"/>
      <c r="D28" s="45"/>
      <c r="E28" s="46"/>
      <c r="F28" s="46"/>
      <c r="G28" s="47"/>
    </row>
    <row r="29" spans="2:8" s="16" customFormat="1">
      <c r="B29" s="48" t="s">
        <v>38</v>
      </c>
      <c r="C29" s="49">
        <f>D29*2000/$C$12</f>
        <v>6.2660489642947362E-2</v>
      </c>
      <c r="D29" s="50">
        <f>E29*$C$13*(100-$C$22)%/2000</f>
        <v>0.27445294463610947</v>
      </c>
      <c r="E29" s="353">
        <f>(0.0032*C18*(C17/5)^1.3/(C16/2)^1.4)</f>
        <v>9.4384271624361657E-4</v>
      </c>
      <c r="F29" s="52" t="s">
        <v>5</v>
      </c>
      <c r="G29" s="352" t="s">
        <v>131</v>
      </c>
    </row>
    <row r="30" spans="2:8" s="16" customFormat="1" ht="14.25">
      <c r="B30" s="48" t="s">
        <v>146</v>
      </c>
      <c r="C30" s="49">
        <f>D30*2000/$C$12</f>
        <v>2.9636718074366991E-2</v>
      </c>
      <c r="D30" s="50">
        <f t="shared" ref="D30:D31" si="0">E30*$C$13*(100-$C$22)%/2000</f>
        <v>0.12980882516572742</v>
      </c>
      <c r="E30" s="353">
        <f>(0.0032*C19*(C17/5)^1.3/(C16/2)^1.4)</f>
        <v>4.4641209552062942E-4</v>
      </c>
      <c r="F30" s="52" t="s">
        <v>5</v>
      </c>
      <c r="G30" s="352" t="s">
        <v>131</v>
      </c>
    </row>
    <row r="31" spans="2:8" s="16" customFormat="1" ht="14.25">
      <c r="B31" s="48" t="s">
        <v>147</v>
      </c>
      <c r="C31" s="770">
        <f>D31*2000/$C$12</f>
        <v>4.487845879832717E-3</v>
      </c>
      <c r="D31" s="50">
        <f t="shared" si="0"/>
        <v>1.9656764953667298E-2</v>
      </c>
      <c r="E31" s="353">
        <f>(0.0032*C20*(C17/5)^1.3/(C16/2)^1.4)</f>
        <v>6.7599545893123891E-5</v>
      </c>
      <c r="F31" s="52" t="s">
        <v>5</v>
      </c>
      <c r="G31" s="352" t="s">
        <v>131</v>
      </c>
    </row>
    <row r="32" spans="2:8" s="91" customFormat="1">
      <c r="B32" s="48"/>
      <c r="C32" s="49"/>
      <c r="D32" s="50"/>
      <c r="E32" s="51"/>
      <c r="F32" s="52"/>
      <c r="G32" s="314"/>
      <c r="H32" s="191"/>
    </row>
    <row r="33" spans="2:11" s="16" customFormat="1">
      <c r="B33" s="43" t="s">
        <v>41</v>
      </c>
      <c r="C33" s="49"/>
      <c r="D33" s="50"/>
      <c r="E33" s="80"/>
      <c r="F33" s="52"/>
      <c r="G33" s="301"/>
      <c r="I33" s="304"/>
      <c r="J33" s="304"/>
      <c r="K33" s="304"/>
    </row>
    <row r="34" spans="2:11" s="16" customFormat="1">
      <c r="B34" s="58" t="s">
        <v>86</v>
      </c>
      <c r="C34" s="49"/>
      <c r="D34" s="50"/>
      <c r="E34" s="80"/>
      <c r="F34" s="52"/>
      <c r="G34" s="301"/>
      <c r="I34" s="304"/>
      <c r="J34" s="304"/>
      <c r="K34" s="304"/>
    </row>
    <row r="35" spans="2:11" s="16" customFormat="1">
      <c r="B35" s="48" t="s">
        <v>234</v>
      </c>
      <c r="C35" s="62">
        <f>$C$29*E35%</f>
        <v>1.0950573278538831E-7</v>
      </c>
      <c r="D35" s="62">
        <f>$D$29*E35%</f>
        <v>4.7963510960000089E-7</v>
      </c>
      <c r="E35" s="82">
        <v>1.7476041666666665E-4</v>
      </c>
      <c r="F35" s="52" t="s">
        <v>245</v>
      </c>
      <c r="G35" s="301" t="s">
        <v>357</v>
      </c>
      <c r="I35" s="304"/>
      <c r="J35" s="304"/>
      <c r="K35" s="304"/>
    </row>
    <row r="36" spans="2:11" s="16" customFormat="1">
      <c r="B36" s="48" t="s">
        <v>235</v>
      </c>
      <c r="C36" s="62">
        <f t="shared" ref="C36:C45" si="1">$C$29*E36%</f>
        <v>7.5024448590994919E-8</v>
      </c>
      <c r="D36" s="62">
        <f t="shared" ref="D36:D45" si="2">$D$29*E36%</f>
        <v>3.2860708482855782E-7</v>
      </c>
      <c r="E36" s="82">
        <v>1.1973166666666666E-4</v>
      </c>
      <c r="F36" s="52" t="s">
        <v>245</v>
      </c>
      <c r="G36" s="301" t="s">
        <v>357</v>
      </c>
      <c r="I36" s="304"/>
      <c r="J36" s="304"/>
      <c r="K36" s="304"/>
    </row>
    <row r="37" spans="2:11" s="16" customFormat="1">
      <c r="B37" s="48" t="s">
        <v>236</v>
      </c>
      <c r="C37" s="62">
        <f t="shared" si="1"/>
        <v>6.9786428506612252E-7</v>
      </c>
      <c r="D37" s="62">
        <f t="shared" si="2"/>
        <v>3.0566455685896169E-6</v>
      </c>
      <c r="E37" s="82">
        <v>1.1137229999999998E-3</v>
      </c>
      <c r="F37" s="52" t="s">
        <v>245</v>
      </c>
      <c r="G37" s="301" t="s">
        <v>357</v>
      </c>
      <c r="I37" s="304"/>
      <c r="J37" s="304"/>
      <c r="K37" s="304"/>
    </row>
    <row r="38" spans="2:11" s="16" customFormat="1">
      <c r="B38" s="48" t="s">
        <v>237</v>
      </c>
      <c r="C38" s="62">
        <f t="shared" si="1"/>
        <v>7.3375041743831098E-8</v>
      </c>
      <c r="D38" s="62">
        <f t="shared" si="2"/>
        <v>3.2138268283798025E-7</v>
      </c>
      <c r="E38" s="82">
        <v>1.17099375E-4</v>
      </c>
      <c r="F38" s="52" t="s">
        <v>245</v>
      </c>
      <c r="G38" s="301" t="s">
        <v>357</v>
      </c>
      <c r="I38" s="304"/>
      <c r="J38" s="304"/>
      <c r="K38" s="304"/>
    </row>
    <row r="39" spans="2:11" s="16" customFormat="1">
      <c r="B39" s="48" t="s">
        <v>238</v>
      </c>
      <c r="C39" s="62">
        <f t="shared" si="1"/>
        <v>1.3673577802366078E-6</v>
      </c>
      <c r="D39" s="62">
        <f t="shared" si="2"/>
        <v>5.9890270774363427E-6</v>
      </c>
      <c r="E39" s="82">
        <v>2.1821689999999999E-3</v>
      </c>
      <c r="F39" s="52" t="s">
        <v>245</v>
      </c>
      <c r="G39" s="301" t="s">
        <v>357</v>
      </c>
      <c r="I39" s="304"/>
      <c r="J39" s="304"/>
      <c r="K39" s="304"/>
    </row>
    <row r="40" spans="2:11" s="16" customFormat="1">
      <c r="B40" s="48" t="s">
        <v>239</v>
      </c>
      <c r="C40" s="62">
        <f t="shared" si="1"/>
        <v>7.3375041743831098E-8</v>
      </c>
      <c r="D40" s="62">
        <f t="shared" si="2"/>
        <v>3.2138268283798025E-7</v>
      </c>
      <c r="E40" s="82">
        <v>1.17099375E-4</v>
      </c>
      <c r="F40" s="52" t="s">
        <v>245</v>
      </c>
      <c r="G40" s="301" t="s">
        <v>357</v>
      </c>
      <c r="I40" s="304"/>
      <c r="J40" s="304"/>
      <c r="K40" s="304"/>
    </row>
    <row r="41" spans="2:11" s="16" customFormat="1">
      <c r="B41" s="48" t="s">
        <v>91</v>
      </c>
      <c r="C41" s="62">
        <f t="shared" si="1"/>
        <v>6.7888573862355644E-7</v>
      </c>
      <c r="D41" s="62">
        <f t="shared" si="2"/>
        <v>2.9735195351711775E-6</v>
      </c>
      <c r="E41" s="82">
        <v>1.0834351E-3</v>
      </c>
      <c r="F41" s="52" t="s">
        <v>245</v>
      </c>
      <c r="G41" s="301" t="s">
        <v>357</v>
      </c>
      <c r="I41" s="304"/>
      <c r="J41" s="304"/>
      <c r="K41" s="304"/>
    </row>
    <row r="42" spans="2:11" s="16" customFormat="1">
      <c r="B42" s="48" t="s">
        <v>240</v>
      </c>
      <c r="C42" s="62">
        <f t="shared" si="1"/>
        <v>1.6580502351051812E-4</v>
      </c>
      <c r="D42" s="62">
        <f t="shared" si="2"/>
        <v>7.2622600297606943E-4</v>
      </c>
      <c r="E42" s="82">
        <v>0.26460856666666666</v>
      </c>
      <c r="F42" s="52" t="s">
        <v>245</v>
      </c>
      <c r="G42" s="301" t="s">
        <v>357</v>
      </c>
      <c r="I42" s="304"/>
      <c r="J42" s="304"/>
      <c r="K42" s="304"/>
    </row>
    <row r="43" spans="2:11" s="16" customFormat="1">
      <c r="B43" s="48" t="s">
        <v>241</v>
      </c>
      <c r="C43" s="62">
        <f t="shared" si="1"/>
        <v>1.2843745095536144E-10</v>
      </c>
      <c r="D43" s="62">
        <f t="shared" si="2"/>
        <v>5.6255603518448318E-10</v>
      </c>
      <c r="E43" s="82">
        <v>2.0497358333333337E-7</v>
      </c>
      <c r="F43" s="52" t="s">
        <v>245</v>
      </c>
      <c r="G43" s="301" t="s">
        <v>357</v>
      </c>
      <c r="I43" s="304"/>
      <c r="J43" s="304"/>
      <c r="K43" s="304"/>
    </row>
    <row r="44" spans="2:11" s="16" customFormat="1">
      <c r="B44" s="48" t="s">
        <v>242</v>
      </c>
      <c r="C44" s="62">
        <f t="shared" si="1"/>
        <v>2.7040132781921139E-7</v>
      </c>
      <c r="D44" s="62">
        <f t="shared" si="2"/>
        <v>1.184357815848146E-6</v>
      </c>
      <c r="E44" s="82">
        <v>4.315340166666666E-4</v>
      </c>
      <c r="F44" s="52" t="s">
        <v>245</v>
      </c>
      <c r="G44" s="301" t="s">
        <v>357</v>
      </c>
      <c r="I44" s="304"/>
      <c r="J44" s="304"/>
      <c r="K44" s="304"/>
    </row>
    <row r="45" spans="2:11" s="16" customFormat="1" ht="13.5" thickBot="1">
      <c r="B45" s="343" t="s">
        <v>243</v>
      </c>
      <c r="C45" s="344">
        <f t="shared" si="1"/>
        <v>7.3375041743831098E-8</v>
      </c>
      <c r="D45" s="344">
        <f t="shared" si="2"/>
        <v>3.2138268283798025E-7</v>
      </c>
      <c r="E45" s="345">
        <v>1.17099375E-4</v>
      </c>
      <c r="F45" s="241" t="s">
        <v>245</v>
      </c>
      <c r="G45" s="346" t="s">
        <v>357</v>
      </c>
      <c r="I45" s="304"/>
      <c r="J45" s="304"/>
      <c r="K45" s="304"/>
    </row>
  </sheetData>
  <pageMargins left="0.2" right="0.2" top="0.5" bottom="0.5" header="0.05" footer="0.05"/>
  <pageSetup scale="75" fitToHeight="3" orientation="landscape" horizontalDpi="1200" verticalDpi="120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89ADE-94CB-4177-A962-D03BC7ACF201}">
  <dimension ref="B1:Q148"/>
  <sheetViews>
    <sheetView topLeftCell="A142" zoomScale="150" zoomScaleNormal="150" zoomScaleSheetLayoutView="100" workbookViewId="0">
      <selection activeCell="D28" sqref="D28"/>
    </sheetView>
  </sheetViews>
  <sheetFormatPr defaultColWidth="9.140625" defaultRowHeight="12.75"/>
  <cols>
    <col min="1" max="1" width="2.42578125" style="90" customWidth="1"/>
    <col min="2" max="2" width="32.85546875" style="90" customWidth="1"/>
    <col min="3" max="13" width="11.5703125" style="90" customWidth="1"/>
    <col min="14" max="16384" width="9.140625" style="90"/>
  </cols>
  <sheetData>
    <row r="1" spans="2:8" s="1" customFormat="1" ht="11.25" customHeight="1"/>
    <row r="2" spans="2:8" s="6" customFormat="1">
      <c r="B2" s="5" t="str">
        <f>'Key Inputs'!B2</f>
        <v>Company Name:</v>
      </c>
      <c r="C2" s="279" t="str">
        <f>'Key Inputs'!C2</f>
        <v>U. S. Steel Corp.</v>
      </c>
      <c r="F2" s="5"/>
    </row>
    <row r="3" spans="2:8" s="6" customFormat="1">
      <c r="B3" s="5" t="str">
        <f>'Key Inputs'!B3</f>
        <v>Site Name:</v>
      </c>
      <c r="C3" s="279" t="str">
        <f>'Key Inputs'!C3</f>
        <v>Edgar Thomson Plant</v>
      </c>
      <c r="F3" s="5"/>
    </row>
    <row r="4" spans="2:8" s="6" customFormat="1">
      <c r="B4" s="5" t="str">
        <f>'Key Inputs'!B4</f>
        <v>Description:</v>
      </c>
      <c r="C4" s="279" t="str">
        <f>'Key Inputs'!C4</f>
        <v>Title V Permit Renewal</v>
      </c>
      <c r="F4" s="5"/>
    </row>
    <row r="5" spans="2:8" s="6" customFormat="1">
      <c r="B5" s="5" t="str">
        <f>'Key Inputs'!B5</f>
        <v>Date:</v>
      </c>
      <c r="C5" s="281" t="str">
        <f>'Key Inputs'!C5</f>
        <v>10/7/2020 - DRAFT</v>
      </c>
      <c r="F5" s="5"/>
    </row>
    <row r="6" spans="2:8" s="6" customFormat="1">
      <c r="B6" s="5"/>
      <c r="C6" s="183"/>
      <c r="D6" s="5"/>
      <c r="F6" s="5"/>
    </row>
    <row r="7" spans="2:8" s="11" customFormat="1">
      <c r="B7" s="10" t="s">
        <v>358</v>
      </c>
      <c r="C7" s="10"/>
      <c r="D7" s="10"/>
      <c r="F7" s="10"/>
    </row>
    <row r="8" spans="2:8" s="16" customFormat="1">
      <c r="B8" s="14"/>
      <c r="C8" s="15"/>
    </row>
    <row r="9" spans="2:8" s="18" customFormat="1">
      <c r="B9" s="20" t="s">
        <v>25</v>
      </c>
      <c r="C9" s="20" t="s">
        <v>211</v>
      </c>
      <c r="D9" s="20"/>
      <c r="E9" s="21"/>
    </row>
    <row r="10" spans="2:8" s="18" customFormat="1">
      <c r="B10" s="20" t="s">
        <v>56</v>
      </c>
      <c r="C10" s="23" t="s">
        <v>210</v>
      </c>
      <c r="D10" s="20"/>
      <c r="E10" s="21"/>
    </row>
    <row r="11" spans="2:8" s="18" customFormat="1">
      <c r="B11" s="20" t="s">
        <v>291</v>
      </c>
      <c r="C11" s="23" t="s">
        <v>16</v>
      </c>
      <c r="D11" s="20"/>
      <c r="E11" s="21"/>
    </row>
    <row r="12" spans="2:8" s="18" customFormat="1">
      <c r="B12" s="20" t="s">
        <v>26</v>
      </c>
      <c r="C12" s="24">
        <f>'Key Inputs'!$G$22</f>
        <v>8760</v>
      </c>
      <c r="D12" s="21" t="s">
        <v>10</v>
      </c>
      <c r="E12" s="21"/>
      <c r="G12" s="87"/>
    </row>
    <row r="13" spans="2:8" s="18" customFormat="1">
      <c r="B13" s="20" t="s">
        <v>14</v>
      </c>
      <c r="C13" s="354" t="s">
        <v>359</v>
      </c>
      <c r="D13" s="21"/>
      <c r="E13" s="21"/>
      <c r="G13" s="87"/>
    </row>
    <row r="14" spans="2:8" s="18" customFormat="1">
      <c r="B14" s="20" t="s">
        <v>63</v>
      </c>
      <c r="C14" s="24">
        <v>90</v>
      </c>
      <c r="D14" s="21" t="s">
        <v>13</v>
      </c>
      <c r="E14" s="21"/>
      <c r="G14" s="87"/>
    </row>
    <row r="15" spans="2:8" s="18" customFormat="1">
      <c r="B15" s="20" t="s">
        <v>95</v>
      </c>
      <c r="C15" s="24">
        <f>'Key Inputs'!E19</f>
        <v>3467500</v>
      </c>
      <c r="D15" s="21" t="s">
        <v>98</v>
      </c>
      <c r="E15" s="21"/>
      <c r="G15" s="87"/>
      <c r="H15" s="307"/>
    </row>
    <row r="16" spans="2:8" s="18" customFormat="1">
      <c r="B16" s="186"/>
      <c r="C16" s="169"/>
      <c r="D16" s="168"/>
      <c r="G16" s="87"/>
    </row>
    <row r="17" spans="2:17" s="11" customFormat="1">
      <c r="B17" s="802" t="s">
        <v>409</v>
      </c>
      <c r="C17" s="802"/>
      <c r="D17" s="802"/>
      <c r="E17" s="802"/>
      <c r="F17" s="802"/>
      <c r="G17" s="802"/>
      <c r="H17" s="802"/>
      <c r="I17" s="802"/>
      <c r="J17" s="802"/>
      <c r="K17" s="802"/>
      <c r="L17" s="802"/>
      <c r="M17" s="802"/>
    </row>
    <row r="18" spans="2:17" ht="13.5" thickBot="1">
      <c r="B18" s="380"/>
      <c r="C18" s="93"/>
      <c r="D18" s="93"/>
      <c r="E18" s="93"/>
      <c r="F18" s="93"/>
      <c r="G18" s="93"/>
      <c r="H18" s="93"/>
      <c r="I18" s="93"/>
      <c r="J18" s="93"/>
      <c r="K18" s="166"/>
    </row>
    <row r="19" spans="2:17" ht="6" customHeight="1">
      <c r="B19" s="361"/>
      <c r="C19" s="362"/>
      <c r="D19" s="362"/>
      <c r="E19" s="362"/>
      <c r="F19" s="362"/>
      <c r="G19" s="362"/>
      <c r="H19" s="362"/>
      <c r="I19" s="362"/>
      <c r="J19" s="362"/>
      <c r="K19" s="363"/>
    </row>
    <row r="20" spans="2:17" ht="14.45" customHeight="1">
      <c r="B20" s="803" t="s">
        <v>368</v>
      </c>
      <c r="C20" s="804" t="s">
        <v>369</v>
      </c>
      <c r="D20" s="804" t="s">
        <v>370</v>
      </c>
      <c r="E20" s="804" t="s">
        <v>371</v>
      </c>
      <c r="F20" s="805" t="s">
        <v>377</v>
      </c>
      <c r="G20" s="358" t="s">
        <v>361</v>
      </c>
      <c r="H20" s="359" t="s">
        <v>362</v>
      </c>
      <c r="I20" s="359"/>
      <c r="J20" s="358" t="s">
        <v>363</v>
      </c>
      <c r="K20" s="100" t="s">
        <v>364</v>
      </c>
    </row>
    <row r="21" spans="2:17">
      <c r="B21" s="803"/>
      <c r="C21" s="804"/>
      <c r="D21" s="804"/>
      <c r="E21" s="804"/>
      <c r="F21" s="805"/>
      <c r="G21" s="358" t="s">
        <v>365</v>
      </c>
      <c r="H21" s="359" t="s">
        <v>366</v>
      </c>
      <c r="I21" s="359"/>
      <c r="J21" s="358" t="s">
        <v>367</v>
      </c>
      <c r="K21" s="100" t="s">
        <v>366</v>
      </c>
      <c r="N21" s="92" t="s">
        <v>410</v>
      </c>
      <c r="P21" s="92" t="s">
        <v>411</v>
      </c>
    </row>
    <row r="22" spans="2:17">
      <c r="B22" s="803"/>
      <c r="C22" s="804"/>
      <c r="D22" s="804"/>
      <c r="E22" s="804"/>
      <c r="F22" s="358" t="s">
        <v>372</v>
      </c>
      <c r="G22" s="358" t="s">
        <v>373</v>
      </c>
      <c r="H22" s="358" t="s">
        <v>374</v>
      </c>
      <c r="I22" s="358" t="s">
        <v>375</v>
      </c>
      <c r="J22" s="358" t="s">
        <v>376</v>
      </c>
      <c r="K22" s="100" t="s">
        <v>375</v>
      </c>
    </row>
    <row r="23" spans="2:17" ht="6" customHeight="1" thickBot="1">
      <c r="B23" s="364"/>
      <c r="C23" s="365"/>
      <c r="D23" s="365"/>
      <c r="E23" s="365"/>
      <c r="F23" s="365"/>
      <c r="G23" s="365"/>
      <c r="H23" s="365"/>
      <c r="I23" s="365"/>
      <c r="J23" s="365"/>
      <c r="K23" s="98"/>
    </row>
    <row r="24" spans="2:17">
      <c r="B24" s="369" t="s">
        <v>378</v>
      </c>
      <c r="C24" s="370">
        <v>1.0999999999999999E-2</v>
      </c>
      <c r="D24" s="371">
        <v>0.30166999999999999</v>
      </c>
      <c r="E24" s="370">
        <f>200000/2000</f>
        <v>100</v>
      </c>
      <c r="F24" s="383">
        <f t="shared" ref="F24:F37" si="0">(C24*((D24)^0.91)*((E24)^1.02))</f>
        <v>0.40529096039913509</v>
      </c>
      <c r="G24" s="373">
        <f t="shared" ref="G24:G37" si="1">N24/$P$24*$C$15</f>
        <v>3364.4011793458026</v>
      </c>
      <c r="H24" s="373">
        <f t="shared" ref="H24:H37" si="2">F24*G24</f>
        <v>1363.561385145043</v>
      </c>
      <c r="I24" s="371">
        <f t="shared" ref="I24:I37" si="3">H24/2000</f>
        <v>0.6817806925725215</v>
      </c>
      <c r="J24" s="370">
        <v>90</v>
      </c>
      <c r="K24" s="374">
        <f t="shared" ref="K24:K37" si="4">I24*((100-J24)/100)</f>
        <v>6.8178069257252158E-2</v>
      </c>
      <c r="N24" s="382">
        <v>2219.5121951219512</v>
      </c>
      <c r="P24" s="381">
        <v>2287527</v>
      </c>
      <c r="Q24" s="92" t="s">
        <v>144</v>
      </c>
    </row>
    <row r="25" spans="2:17">
      <c r="B25" s="188" t="s">
        <v>379</v>
      </c>
      <c r="C25" s="97">
        <v>1.0999999999999999E-2</v>
      </c>
      <c r="D25" s="96">
        <v>0.30166999999999999</v>
      </c>
      <c r="E25" s="97">
        <f>150000/2000</f>
        <v>75</v>
      </c>
      <c r="F25" s="384">
        <f t="shared" si="0"/>
        <v>0.30222431785344439</v>
      </c>
      <c r="G25" s="368">
        <f t="shared" si="1"/>
        <v>3364.4011793458026</v>
      </c>
      <c r="H25" s="368">
        <f t="shared" si="2"/>
        <v>1016.803851413109</v>
      </c>
      <c r="I25" s="96">
        <f t="shared" si="3"/>
        <v>0.50840192570655451</v>
      </c>
      <c r="J25" s="97">
        <v>90</v>
      </c>
      <c r="K25" s="375">
        <f t="shared" si="4"/>
        <v>5.0840192570655453E-2</v>
      </c>
      <c r="N25" s="382">
        <v>2219.5121951219512</v>
      </c>
    </row>
    <row r="26" spans="2:17">
      <c r="B26" s="188" t="s">
        <v>380</v>
      </c>
      <c r="C26" s="97">
        <v>1.0999999999999999E-2</v>
      </c>
      <c r="D26" s="96">
        <v>0.30166999999999999</v>
      </c>
      <c r="E26" s="97">
        <f>140000/2000</f>
        <v>70</v>
      </c>
      <c r="F26" s="384">
        <f t="shared" si="0"/>
        <v>0.28168707370463553</v>
      </c>
      <c r="G26" s="368">
        <f t="shared" si="1"/>
        <v>1682.2005896729013</v>
      </c>
      <c r="H26" s="368">
        <f t="shared" si="2"/>
        <v>473.85416148917187</v>
      </c>
      <c r="I26" s="96">
        <f t="shared" si="3"/>
        <v>0.23692708074458593</v>
      </c>
      <c r="J26" s="97">
        <v>90</v>
      </c>
      <c r="K26" s="375">
        <f t="shared" si="4"/>
        <v>2.3692708074458595E-2</v>
      </c>
      <c r="N26" s="382">
        <v>1109.7560975609756</v>
      </c>
    </row>
    <row r="27" spans="2:17">
      <c r="B27" s="188" t="s">
        <v>381</v>
      </c>
      <c r="C27" s="97">
        <v>1.0999999999999999E-2</v>
      </c>
      <c r="D27" s="96">
        <v>0.30166999999999999</v>
      </c>
      <c r="E27" s="97">
        <f>70000/2000</f>
        <v>35</v>
      </c>
      <c r="F27" s="384">
        <f t="shared" si="0"/>
        <v>0.13890450226027143</v>
      </c>
      <c r="G27" s="368">
        <f t="shared" si="1"/>
        <v>9458.77360136077</v>
      </c>
      <c r="H27" s="368">
        <f t="shared" si="2"/>
        <v>1313.8662390896127</v>
      </c>
      <c r="I27" s="96">
        <f t="shared" si="3"/>
        <v>0.65693311954480638</v>
      </c>
      <c r="J27" s="97">
        <v>90</v>
      </c>
      <c r="K27" s="375">
        <f t="shared" si="4"/>
        <v>6.5693311954480638E-2</v>
      </c>
      <c r="N27" s="382">
        <v>6240</v>
      </c>
    </row>
    <row r="28" spans="2:17">
      <c r="B28" s="188" t="s">
        <v>382</v>
      </c>
      <c r="C28" s="97">
        <v>1.0999999999999999E-2</v>
      </c>
      <c r="D28" s="96">
        <v>0.30166999999999999</v>
      </c>
      <c r="E28" s="97">
        <f>75000/2000</f>
        <v>37.5</v>
      </c>
      <c r="F28" s="384">
        <f t="shared" si="0"/>
        <v>0.14903175318013165</v>
      </c>
      <c r="G28" s="368">
        <f t="shared" si="1"/>
        <v>2364.6934003401925</v>
      </c>
      <c r="H28" s="368">
        <f t="shared" si="2"/>
        <v>352.41440318618578</v>
      </c>
      <c r="I28" s="96">
        <f t="shared" si="3"/>
        <v>0.17620720159309289</v>
      </c>
      <c r="J28" s="97">
        <v>90</v>
      </c>
      <c r="K28" s="375">
        <f t="shared" si="4"/>
        <v>1.7620720159309291E-2</v>
      </c>
      <c r="N28" s="382">
        <v>1560</v>
      </c>
    </row>
    <row r="29" spans="2:17">
      <c r="B29" s="188" t="s">
        <v>383</v>
      </c>
      <c r="C29" s="97">
        <v>1.0999999999999999E-2</v>
      </c>
      <c r="D29" s="96">
        <v>0.30166999999999999</v>
      </c>
      <c r="E29" s="97">
        <f>40000/2000</f>
        <v>20</v>
      </c>
      <c r="F29" s="384">
        <f t="shared" si="0"/>
        <v>7.8490575418813269E-2</v>
      </c>
      <c r="G29" s="368">
        <f t="shared" si="1"/>
        <v>1182.3467001700963</v>
      </c>
      <c r="H29" s="368">
        <f t="shared" si="2"/>
        <v>92.803072840885946</v>
      </c>
      <c r="I29" s="96">
        <f t="shared" si="3"/>
        <v>4.6401536420442972E-2</v>
      </c>
      <c r="J29" s="97">
        <v>90</v>
      </c>
      <c r="K29" s="375">
        <f t="shared" si="4"/>
        <v>4.6401536420442972E-3</v>
      </c>
      <c r="N29" s="382">
        <v>780</v>
      </c>
    </row>
    <row r="30" spans="2:17">
      <c r="B30" s="188" t="s">
        <v>384</v>
      </c>
      <c r="C30" s="97">
        <v>1.0999999999999999E-2</v>
      </c>
      <c r="D30" s="96">
        <v>0.30166999999999999</v>
      </c>
      <c r="E30" s="97">
        <f>95000/2000</f>
        <v>47.5</v>
      </c>
      <c r="F30" s="384">
        <f t="shared" si="0"/>
        <v>0.18966814607240406</v>
      </c>
      <c r="G30" s="368">
        <f t="shared" si="1"/>
        <v>2758.8089670635582</v>
      </c>
      <c r="H30" s="368">
        <f t="shared" si="2"/>
        <v>523.25818215086917</v>
      </c>
      <c r="I30" s="96">
        <f t="shared" si="3"/>
        <v>0.26162909107543458</v>
      </c>
      <c r="J30" s="97">
        <v>90</v>
      </c>
      <c r="K30" s="375">
        <f t="shared" si="4"/>
        <v>2.6162909107543458E-2</v>
      </c>
      <c r="N30" s="382">
        <v>1820</v>
      </c>
    </row>
    <row r="31" spans="2:17">
      <c r="B31" s="188" t="s">
        <v>385</v>
      </c>
      <c r="C31" s="97">
        <v>1.0999999999999999E-2</v>
      </c>
      <c r="D31" s="96">
        <v>0.30166999999999999</v>
      </c>
      <c r="E31" s="97">
        <f>88000/2000</f>
        <v>44</v>
      </c>
      <c r="F31" s="384">
        <f t="shared" si="0"/>
        <v>0.17542385371625907</v>
      </c>
      <c r="G31" s="368">
        <f t="shared" si="1"/>
        <v>5911.7335008504815</v>
      </c>
      <c r="H31" s="368">
        <f t="shared" si="2"/>
        <v>1037.059072862703</v>
      </c>
      <c r="I31" s="96">
        <f t="shared" si="3"/>
        <v>0.51852953643135147</v>
      </c>
      <c r="J31" s="97">
        <v>90</v>
      </c>
      <c r="K31" s="375">
        <f t="shared" si="4"/>
        <v>5.185295364313515E-2</v>
      </c>
      <c r="N31" s="382">
        <v>3900</v>
      </c>
    </row>
    <row r="32" spans="2:17">
      <c r="B32" s="188" t="s">
        <v>386</v>
      </c>
      <c r="C32" s="97">
        <v>1.0999999999999999E-2</v>
      </c>
      <c r="D32" s="96">
        <v>0.30166999999999999</v>
      </c>
      <c r="E32" s="97">
        <f>60000/2000</f>
        <v>30</v>
      </c>
      <c r="F32" s="384">
        <f t="shared" si="0"/>
        <v>0.11869450050433371</v>
      </c>
      <c r="G32" s="368">
        <f t="shared" si="1"/>
        <v>1970.5778336168273</v>
      </c>
      <c r="H32" s="368">
        <f t="shared" si="2"/>
        <v>233.89675166606133</v>
      </c>
      <c r="I32" s="96">
        <f t="shared" si="3"/>
        <v>0.11694837583303067</v>
      </c>
      <c r="J32" s="97">
        <v>90</v>
      </c>
      <c r="K32" s="375">
        <f t="shared" si="4"/>
        <v>1.1694837583303067E-2</v>
      </c>
      <c r="N32" s="382">
        <v>1300</v>
      </c>
    </row>
    <row r="33" spans="2:15">
      <c r="B33" s="188" t="s">
        <v>385</v>
      </c>
      <c r="C33" s="97">
        <v>1.0999999999999999E-2</v>
      </c>
      <c r="D33" s="96">
        <v>0.30166999999999999</v>
      </c>
      <c r="E33" s="97">
        <f>90000/2000</f>
        <v>45</v>
      </c>
      <c r="F33" s="384">
        <f t="shared" si="0"/>
        <v>0.17949141504951241</v>
      </c>
      <c r="G33" s="368">
        <f t="shared" si="1"/>
        <v>1970.5778336168273</v>
      </c>
      <c r="H33" s="368">
        <f t="shared" si="2"/>
        <v>353.70180382108697</v>
      </c>
      <c r="I33" s="96">
        <f t="shared" si="3"/>
        <v>0.17685090191054348</v>
      </c>
      <c r="J33" s="97">
        <v>90</v>
      </c>
      <c r="K33" s="375">
        <f t="shared" si="4"/>
        <v>1.768509019105435E-2</v>
      </c>
      <c r="N33" s="382">
        <v>1300</v>
      </c>
    </row>
    <row r="34" spans="2:15">
      <c r="B34" s="188" t="s">
        <v>387</v>
      </c>
      <c r="C34" s="97">
        <v>1.0999999999999999E-2</v>
      </c>
      <c r="D34" s="96">
        <v>0.30166999999999999</v>
      </c>
      <c r="E34" s="97">
        <f>40000/2000</f>
        <v>20</v>
      </c>
      <c r="F34" s="384">
        <f t="shared" si="0"/>
        <v>7.8490575418813269E-2</v>
      </c>
      <c r="G34" s="368">
        <f t="shared" si="1"/>
        <v>1970.5778336168273</v>
      </c>
      <c r="H34" s="368">
        <f t="shared" si="2"/>
        <v>154.67178806814326</v>
      </c>
      <c r="I34" s="96">
        <f t="shared" si="3"/>
        <v>7.7335894034071623E-2</v>
      </c>
      <c r="J34" s="97">
        <v>90</v>
      </c>
      <c r="K34" s="375">
        <f t="shared" si="4"/>
        <v>7.7335894034071626E-3</v>
      </c>
      <c r="N34" s="382">
        <v>1300</v>
      </c>
    </row>
    <row r="35" spans="2:15">
      <c r="B35" s="188" t="s">
        <v>388</v>
      </c>
      <c r="C35" s="97">
        <v>1.0999999999999999E-2</v>
      </c>
      <c r="D35" s="96">
        <v>0.30166999999999999</v>
      </c>
      <c r="E35" s="97">
        <f>70000/2000</f>
        <v>35</v>
      </c>
      <c r="F35" s="384">
        <f t="shared" si="0"/>
        <v>0.13890450226027143</v>
      </c>
      <c r="G35" s="368">
        <f t="shared" si="1"/>
        <v>1970.5778336168273</v>
      </c>
      <c r="H35" s="368">
        <f t="shared" si="2"/>
        <v>273.72213314366934</v>
      </c>
      <c r="I35" s="96">
        <f t="shared" si="3"/>
        <v>0.13686106657183467</v>
      </c>
      <c r="J35" s="97">
        <v>90</v>
      </c>
      <c r="K35" s="375">
        <f t="shared" si="4"/>
        <v>1.3686106657183467E-2</v>
      </c>
      <c r="N35" s="382">
        <v>1300</v>
      </c>
    </row>
    <row r="36" spans="2:15">
      <c r="B36" s="188" t="s">
        <v>389</v>
      </c>
      <c r="C36" s="97">
        <v>1.0999999999999999E-2</v>
      </c>
      <c r="D36" s="96">
        <v>0.30166999999999999</v>
      </c>
      <c r="E36" s="97">
        <f>70000/2000</f>
        <v>35</v>
      </c>
      <c r="F36" s="384">
        <f t="shared" si="0"/>
        <v>0.13890450226027143</v>
      </c>
      <c r="G36" s="368">
        <f t="shared" si="1"/>
        <v>8985.8349212927333</v>
      </c>
      <c r="H36" s="368">
        <f t="shared" si="2"/>
        <v>1248.1729271351323</v>
      </c>
      <c r="I36" s="96">
        <f t="shared" si="3"/>
        <v>0.62408646356756614</v>
      </c>
      <c r="J36" s="97">
        <v>90</v>
      </c>
      <c r="K36" s="375">
        <f t="shared" si="4"/>
        <v>6.2408646356756615E-2</v>
      </c>
      <c r="N36" s="382">
        <v>5928</v>
      </c>
    </row>
    <row r="37" spans="2:15" ht="13.5" thickBot="1">
      <c r="B37" s="104" t="s">
        <v>390</v>
      </c>
      <c r="C37" s="128">
        <v>1.0999999999999999E-2</v>
      </c>
      <c r="D37" s="376">
        <v>0.30166999999999999</v>
      </c>
      <c r="E37" s="128">
        <f>28000/2000</f>
        <v>14</v>
      </c>
      <c r="F37" s="385">
        <f t="shared" si="0"/>
        <v>5.4552858719929431E-2</v>
      </c>
      <c r="G37" s="378">
        <f t="shared" si="1"/>
        <v>8985.8349212927333</v>
      </c>
      <c r="H37" s="378">
        <f t="shared" si="2"/>
        <v>490.2029829418907</v>
      </c>
      <c r="I37" s="376">
        <f t="shared" si="3"/>
        <v>0.24510149147094534</v>
      </c>
      <c r="J37" s="128">
        <v>90</v>
      </c>
      <c r="K37" s="379">
        <f t="shared" si="4"/>
        <v>2.4510149147094536E-2</v>
      </c>
      <c r="N37" s="382">
        <v>5928</v>
      </c>
    </row>
    <row r="38" spans="2:15" s="114" customFormat="1">
      <c r="B38" s="360" t="s">
        <v>413</v>
      </c>
      <c r="C38" s="358"/>
      <c r="D38" s="386"/>
      <c r="E38" s="358"/>
      <c r="F38" s="387"/>
      <c r="G38" s="388">
        <f t="shared" ref="G38:I38" si="5">SUM(G24:G37)</f>
        <v>55941.340295202383</v>
      </c>
      <c r="H38" s="388">
        <f t="shared" si="5"/>
        <v>8927.9887549535633</v>
      </c>
      <c r="I38" s="386">
        <f t="shared" si="5"/>
        <v>4.4639943774767827</v>
      </c>
      <c r="J38" s="358"/>
      <c r="K38" s="386">
        <f>SUM(K24:K37)</f>
        <v>0.44639943774767826</v>
      </c>
      <c r="M38" s="389"/>
    </row>
    <row r="39" spans="2:15">
      <c r="G39" s="357"/>
    </row>
    <row r="40" spans="2:15" s="11" customFormat="1" ht="14.25">
      <c r="B40" s="802" t="s">
        <v>414</v>
      </c>
      <c r="C40" s="802"/>
      <c r="D40" s="802"/>
      <c r="E40" s="802"/>
      <c r="F40" s="802"/>
      <c r="G40" s="802"/>
      <c r="H40" s="802"/>
      <c r="I40" s="802"/>
      <c r="J40" s="802"/>
      <c r="K40" s="802"/>
      <c r="L40" s="802"/>
      <c r="M40" s="802"/>
    </row>
    <row r="41" spans="2:15" ht="13.5" thickBot="1">
      <c r="B41" s="380"/>
      <c r="C41" s="93"/>
      <c r="D41" s="93"/>
      <c r="E41" s="93"/>
      <c r="F41" s="93"/>
      <c r="G41" s="93"/>
      <c r="H41" s="93"/>
      <c r="I41" s="93"/>
      <c r="J41" s="93"/>
      <c r="K41" s="166"/>
    </row>
    <row r="42" spans="2:15" ht="6" customHeight="1">
      <c r="B42" s="361"/>
      <c r="C42" s="362"/>
      <c r="D42" s="362"/>
      <c r="E42" s="362"/>
      <c r="F42" s="362"/>
      <c r="G42" s="362"/>
      <c r="H42" s="362"/>
      <c r="I42" s="362"/>
      <c r="J42" s="362"/>
      <c r="K42" s="363"/>
    </row>
    <row r="43" spans="2:15" ht="14.45" customHeight="1">
      <c r="B43" s="803" t="s">
        <v>368</v>
      </c>
      <c r="C43" s="804" t="s">
        <v>369</v>
      </c>
      <c r="D43" s="804" t="s">
        <v>370</v>
      </c>
      <c r="E43" s="804" t="s">
        <v>371</v>
      </c>
      <c r="F43" s="805" t="s">
        <v>377</v>
      </c>
      <c r="G43" s="358" t="s">
        <v>361</v>
      </c>
      <c r="H43" s="359" t="s">
        <v>362</v>
      </c>
      <c r="I43" s="359"/>
      <c r="J43" s="358" t="s">
        <v>363</v>
      </c>
      <c r="K43" s="100" t="s">
        <v>364</v>
      </c>
    </row>
    <row r="44" spans="2:15">
      <c r="B44" s="803"/>
      <c r="C44" s="804"/>
      <c r="D44" s="804"/>
      <c r="E44" s="804"/>
      <c r="F44" s="805"/>
      <c r="G44" s="358" t="s">
        <v>365</v>
      </c>
      <c r="H44" s="359" t="s">
        <v>366</v>
      </c>
      <c r="I44" s="359"/>
      <c r="J44" s="358" t="s">
        <v>367</v>
      </c>
      <c r="K44" s="100" t="s">
        <v>366</v>
      </c>
      <c r="M44" s="92"/>
      <c r="O44" s="92"/>
    </row>
    <row r="45" spans="2:15">
      <c r="B45" s="803"/>
      <c r="C45" s="804"/>
      <c r="D45" s="804"/>
      <c r="E45" s="804"/>
      <c r="F45" s="358" t="s">
        <v>372</v>
      </c>
      <c r="G45" s="358" t="s">
        <v>373</v>
      </c>
      <c r="H45" s="358" t="s">
        <v>374</v>
      </c>
      <c r="I45" s="358" t="s">
        <v>375</v>
      </c>
      <c r="J45" s="358" t="s">
        <v>376</v>
      </c>
      <c r="K45" s="100" t="s">
        <v>375</v>
      </c>
    </row>
    <row r="46" spans="2:15" ht="6" customHeight="1" thickBot="1">
      <c r="B46" s="366"/>
      <c r="C46" s="358"/>
      <c r="D46" s="358"/>
      <c r="E46" s="358"/>
      <c r="F46" s="358"/>
      <c r="G46" s="358"/>
      <c r="H46" s="358"/>
      <c r="I46" s="358"/>
      <c r="J46" s="358"/>
      <c r="K46" s="100"/>
    </row>
    <row r="47" spans="2:15">
      <c r="B47" s="369" t="s">
        <v>378</v>
      </c>
      <c r="C47" s="370">
        <v>2.2000000000000001E-3</v>
      </c>
      <c r="D47" s="371">
        <f t="shared" ref="D47:E60" si="6">D24</f>
        <v>0.30166999999999999</v>
      </c>
      <c r="E47" s="370">
        <f t="shared" si="6"/>
        <v>100</v>
      </c>
      <c r="F47" s="390">
        <f t="shared" ref="F47:F60" si="7">(C47*((D47)^0.91)*((E47)^1.02))</f>
        <v>8.1058192079827035E-2</v>
      </c>
      <c r="G47" s="373">
        <f t="shared" ref="G47:G60" si="8">G24</f>
        <v>3364.4011793458026</v>
      </c>
      <c r="H47" s="373">
        <f t="shared" ref="H47:H60" si="9">F47*G47</f>
        <v>272.71227702900865</v>
      </c>
      <c r="I47" s="371">
        <f t="shared" ref="I47:I60" si="10">H47/2000</f>
        <v>0.13635613851450432</v>
      </c>
      <c r="J47" s="370">
        <v>90</v>
      </c>
      <c r="K47" s="391">
        <f t="shared" ref="K47:K60" si="11">I47*((100-J47)/100)</f>
        <v>1.3635613851450432E-2</v>
      </c>
    </row>
    <row r="48" spans="2:15">
      <c r="B48" s="188" t="s">
        <v>379</v>
      </c>
      <c r="C48" s="97">
        <v>2.2000000000000001E-3</v>
      </c>
      <c r="D48" s="96">
        <f t="shared" si="6"/>
        <v>0.30166999999999999</v>
      </c>
      <c r="E48" s="97">
        <f t="shared" si="6"/>
        <v>75</v>
      </c>
      <c r="F48" s="341">
        <f t="shared" si="7"/>
        <v>6.0444863570688886E-2</v>
      </c>
      <c r="G48" s="368">
        <f t="shared" si="8"/>
        <v>3364.4011793458026</v>
      </c>
      <c r="H48" s="368">
        <f t="shared" si="9"/>
        <v>203.36077028262184</v>
      </c>
      <c r="I48" s="96">
        <f t="shared" si="10"/>
        <v>0.10168038514131092</v>
      </c>
      <c r="J48" s="97">
        <v>90</v>
      </c>
      <c r="K48" s="392">
        <f t="shared" si="11"/>
        <v>1.0168038514131093E-2</v>
      </c>
    </row>
    <row r="49" spans="2:13">
      <c r="B49" s="188" t="s">
        <v>380</v>
      </c>
      <c r="C49" s="97">
        <v>2.2000000000000001E-3</v>
      </c>
      <c r="D49" s="96">
        <f t="shared" si="6"/>
        <v>0.30166999999999999</v>
      </c>
      <c r="E49" s="97">
        <f t="shared" si="6"/>
        <v>70</v>
      </c>
      <c r="F49" s="341">
        <f t="shared" si="7"/>
        <v>5.6337414740927114E-2</v>
      </c>
      <c r="G49" s="368">
        <f t="shared" si="8"/>
        <v>1682.2005896729013</v>
      </c>
      <c r="H49" s="368">
        <f t="shared" si="9"/>
        <v>94.770832297834389</v>
      </c>
      <c r="I49" s="96">
        <f t="shared" si="10"/>
        <v>4.7385416148917198E-2</v>
      </c>
      <c r="J49" s="97">
        <v>90</v>
      </c>
      <c r="K49" s="392">
        <f t="shared" si="11"/>
        <v>4.7385416148917198E-3</v>
      </c>
    </row>
    <row r="50" spans="2:13">
      <c r="B50" s="188" t="s">
        <v>381</v>
      </c>
      <c r="C50" s="97">
        <v>2.2000000000000001E-3</v>
      </c>
      <c r="D50" s="96">
        <f t="shared" si="6"/>
        <v>0.30166999999999999</v>
      </c>
      <c r="E50" s="97">
        <f t="shared" si="6"/>
        <v>35</v>
      </c>
      <c r="F50" s="341">
        <f t="shared" si="7"/>
        <v>2.7780900452054287E-2</v>
      </c>
      <c r="G50" s="368">
        <f t="shared" si="8"/>
        <v>9458.77360136077</v>
      </c>
      <c r="H50" s="368">
        <f t="shared" si="9"/>
        <v>262.7732478179226</v>
      </c>
      <c r="I50" s="96">
        <f t="shared" si="10"/>
        <v>0.1313866239089613</v>
      </c>
      <c r="J50" s="97">
        <v>90</v>
      </c>
      <c r="K50" s="392">
        <f t="shared" si="11"/>
        <v>1.313866239089613E-2</v>
      </c>
    </row>
    <row r="51" spans="2:13">
      <c r="B51" s="188" t="s">
        <v>382</v>
      </c>
      <c r="C51" s="97">
        <v>2.2000000000000001E-3</v>
      </c>
      <c r="D51" s="96">
        <f t="shared" si="6"/>
        <v>0.30166999999999999</v>
      </c>
      <c r="E51" s="97">
        <f t="shared" si="6"/>
        <v>37.5</v>
      </c>
      <c r="F51" s="341">
        <f t="shared" si="7"/>
        <v>2.9806350636026335E-2</v>
      </c>
      <c r="G51" s="368">
        <f t="shared" si="8"/>
        <v>2364.6934003401925</v>
      </c>
      <c r="H51" s="368">
        <f t="shared" si="9"/>
        <v>70.482880637237173</v>
      </c>
      <c r="I51" s="96">
        <f t="shared" si="10"/>
        <v>3.5241440318618589E-2</v>
      </c>
      <c r="J51" s="97">
        <v>90</v>
      </c>
      <c r="K51" s="392">
        <f t="shared" si="11"/>
        <v>3.524144031861859E-3</v>
      </c>
    </row>
    <row r="52" spans="2:13">
      <c r="B52" s="188" t="s">
        <v>383</v>
      </c>
      <c r="C52" s="97">
        <v>2.2000000000000001E-3</v>
      </c>
      <c r="D52" s="96">
        <f t="shared" si="6"/>
        <v>0.30166999999999999</v>
      </c>
      <c r="E52" s="97">
        <f t="shared" si="6"/>
        <v>20</v>
      </c>
      <c r="F52" s="341">
        <f t="shared" si="7"/>
        <v>1.5698115083762655E-2</v>
      </c>
      <c r="G52" s="368">
        <f t="shared" si="8"/>
        <v>1182.3467001700963</v>
      </c>
      <c r="H52" s="368">
        <f t="shared" si="9"/>
        <v>18.56061456817719</v>
      </c>
      <c r="I52" s="96">
        <f t="shared" si="10"/>
        <v>9.2803072840885945E-3</v>
      </c>
      <c r="J52" s="97">
        <v>90</v>
      </c>
      <c r="K52" s="392">
        <f t="shared" si="11"/>
        <v>9.2803072840885953E-4</v>
      </c>
    </row>
    <row r="53" spans="2:13">
      <c r="B53" s="188" t="s">
        <v>384</v>
      </c>
      <c r="C53" s="97">
        <v>2.2000000000000001E-3</v>
      </c>
      <c r="D53" s="96">
        <f t="shared" si="6"/>
        <v>0.30166999999999999</v>
      </c>
      <c r="E53" s="97">
        <f t="shared" si="6"/>
        <v>47.5</v>
      </c>
      <c r="F53" s="341">
        <f t="shared" si="7"/>
        <v>3.7933629214480818E-2</v>
      </c>
      <c r="G53" s="368">
        <f t="shared" si="8"/>
        <v>2758.8089670635582</v>
      </c>
      <c r="H53" s="368">
        <f t="shared" si="9"/>
        <v>104.65163643017384</v>
      </c>
      <c r="I53" s="96">
        <f t="shared" si="10"/>
        <v>5.2325818215086917E-2</v>
      </c>
      <c r="J53" s="97">
        <v>90</v>
      </c>
      <c r="K53" s="392">
        <f t="shared" si="11"/>
        <v>5.2325818215086918E-3</v>
      </c>
    </row>
    <row r="54" spans="2:13">
      <c r="B54" s="188" t="s">
        <v>385</v>
      </c>
      <c r="C54" s="97">
        <v>2.2000000000000001E-3</v>
      </c>
      <c r="D54" s="96">
        <f t="shared" si="6"/>
        <v>0.30166999999999999</v>
      </c>
      <c r="E54" s="97">
        <f t="shared" si="6"/>
        <v>44</v>
      </c>
      <c r="F54" s="341">
        <f t="shared" si="7"/>
        <v>3.5084770743251822E-2</v>
      </c>
      <c r="G54" s="368">
        <f t="shared" si="8"/>
        <v>5911.7335008504815</v>
      </c>
      <c r="H54" s="368">
        <f t="shared" si="9"/>
        <v>207.41181457254064</v>
      </c>
      <c r="I54" s="96">
        <f t="shared" si="10"/>
        <v>0.10370590728627031</v>
      </c>
      <c r="J54" s="97">
        <v>90</v>
      </c>
      <c r="K54" s="392">
        <f t="shared" si="11"/>
        <v>1.0370590728627033E-2</v>
      </c>
    </row>
    <row r="55" spans="2:13">
      <c r="B55" s="188" t="s">
        <v>386</v>
      </c>
      <c r="C55" s="97">
        <v>2.2000000000000001E-3</v>
      </c>
      <c r="D55" s="96">
        <f t="shared" si="6"/>
        <v>0.30166999999999999</v>
      </c>
      <c r="E55" s="97">
        <f t="shared" si="6"/>
        <v>30</v>
      </c>
      <c r="F55" s="341">
        <f t="shared" si="7"/>
        <v>2.3738900100866746E-2</v>
      </c>
      <c r="G55" s="368">
        <f t="shared" si="8"/>
        <v>1970.5778336168273</v>
      </c>
      <c r="H55" s="368">
        <f t="shared" si="9"/>
        <v>46.779350333212278</v>
      </c>
      <c r="I55" s="96">
        <f t="shared" si="10"/>
        <v>2.3389675166606141E-2</v>
      </c>
      <c r="J55" s="97">
        <v>90</v>
      </c>
      <c r="K55" s="392">
        <f t="shared" si="11"/>
        <v>2.338967516660614E-3</v>
      </c>
    </row>
    <row r="56" spans="2:13">
      <c r="B56" s="188" t="s">
        <v>385</v>
      </c>
      <c r="C56" s="97">
        <v>2.2000000000000001E-3</v>
      </c>
      <c r="D56" s="96">
        <f t="shared" si="6"/>
        <v>0.30166999999999999</v>
      </c>
      <c r="E56" s="97">
        <f t="shared" si="6"/>
        <v>45</v>
      </c>
      <c r="F56" s="341">
        <f t="shared" si="7"/>
        <v>3.5898283009902485E-2</v>
      </c>
      <c r="G56" s="368">
        <f t="shared" si="8"/>
        <v>1970.5778336168273</v>
      </c>
      <c r="H56" s="368">
        <f t="shared" si="9"/>
        <v>70.740360764217399</v>
      </c>
      <c r="I56" s="96">
        <f t="shared" si="10"/>
        <v>3.53701803821087E-2</v>
      </c>
      <c r="J56" s="97">
        <v>90</v>
      </c>
      <c r="K56" s="392">
        <f t="shared" si="11"/>
        <v>3.5370180382108701E-3</v>
      </c>
    </row>
    <row r="57" spans="2:13">
      <c r="B57" s="188" t="s">
        <v>387</v>
      </c>
      <c r="C57" s="97">
        <v>2.2000000000000001E-3</v>
      </c>
      <c r="D57" s="96">
        <f t="shared" si="6"/>
        <v>0.30166999999999999</v>
      </c>
      <c r="E57" s="97">
        <f t="shared" si="6"/>
        <v>20</v>
      </c>
      <c r="F57" s="341">
        <f t="shared" si="7"/>
        <v>1.5698115083762655E-2</v>
      </c>
      <c r="G57" s="368">
        <f t="shared" si="8"/>
        <v>1970.5778336168273</v>
      </c>
      <c r="H57" s="368">
        <f t="shared" si="9"/>
        <v>30.934357613628652</v>
      </c>
      <c r="I57" s="96">
        <f t="shared" si="10"/>
        <v>1.5467178806814325E-2</v>
      </c>
      <c r="J57" s="97">
        <v>90</v>
      </c>
      <c r="K57" s="392">
        <f t="shared" si="11"/>
        <v>1.5467178806814327E-3</v>
      </c>
    </row>
    <row r="58" spans="2:13">
      <c r="B58" s="188" t="s">
        <v>388</v>
      </c>
      <c r="C58" s="97">
        <v>2.2000000000000001E-3</v>
      </c>
      <c r="D58" s="96">
        <f t="shared" si="6"/>
        <v>0.30166999999999999</v>
      </c>
      <c r="E58" s="97">
        <f t="shared" si="6"/>
        <v>35</v>
      </c>
      <c r="F58" s="341">
        <f t="shared" si="7"/>
        <v>2.7780900452054287E-2</v>
      </c>
      <c r="G58" s="368">
        <f t="shared" si="8"/>
        <v>1970.5778336168273</v>
      </c>
      <c r="H58" s="368">
        <f t="shared" si="9"/>
        <v>54.744426628733876</v>
      </c>
      <c r="I58" s="96">
        <f t="shared" si="10"/>
        <v>2.7372213314366938E-2</v>
      </c>
      <c r="J58" s="97">
        <v>90</v>
      </c>
      <c r="K58" s="392">
        <f t="shared" si="11"/>
        <v>2.7372213314366938E-3</v>
      </c>
    </row>
    <row r="59" spans="2:13">
      <c r="B59" s="188" t="s">
        <v>389</v>
      </c>
      <c r="C59" s="97">
        <v>2.2000000000000001E-3</v>
      </c>
      <c r="D59" s="96">
        <f t="shared" si="6"/>
        <v>0.30166999999999999</v>
      </c>
      <c r="E59" s="97">
        <f t="shared" si="6"/>
        <v>35</v>
      </c>
      <c r="F59" s="341">
        <f t="shared" si="7"/>
        <v>2.7780900452054287E-2</v>
      </c>
      <c r="G59" s="368">
        <f t="shared" si="8"/>
        <v>8985.8349212927333</v>
      </c>
      <c r="H59" s="368">
        <f t="shared" si="9"/>
        <v>249.63458542702648</v>
      </c>
      <c r="I59" s="96">
        <f t="shared" si="10"/>
        <v>0.12481729271351324</v>
      </c>
      <c r="J59" s="97">
        <v>90</v>
      </c>
      <c r="K59" s="392">
        <f t="shared" si="11"/>
        <v>1.2481729271351326E-2</v>
      </c>
    </row>
    <row r="60" spans="2:13" ht="13.5" thickBot="1">
      <c r="B60" s="104" t="s">
        <v>390</v>
      </c>
      <c r="C60" s="128">
        <v>2.2000000000000001E-3</v>
      </c>
      <c r="D60" s="376">
        <f t="shared" si="6"/>
        <v>0.30166999999999999</v>
      </c>
      <c r="E60" s="128">
        <f t="shared" si="6"/>
        <v>14</v>
      </c>
      <c r="F60" s="393">
        <f t="shared" si="7"/>
        <v>1.0910571743985888E-2</v>
      </c>
      <c r="G60" s="378">
        <f t="shared" si="8"/>
        <v>8985.8349212927333</v>
      </c>
      <c r="H60" s="378">
        <f t="shared" si="9"/>
        <v>98.04059658837815</v>
      </c>
      <c r="I60" s="376">
        <f t="shared" si="10"/>
        <v>4.9020298294189073E-2</v>
      </c>
      <c r="J60" s="128">
        <v>90</v>
      </c>
      <c r="K60" s="394">
        <f t="shared" si="11"/>
        <v>4.9020298294189073E-3</v>
      </c>
    </row>
    <row r="61" spans="2:13" s="114" customFormat="1">
      <c r="B61" s="360" t="s">
        <v>415</v>
      </c>
      <c r="C61" s="358"/>
      <c r="D61" s="386"/>
      <c r="E61" s="358"/>
      <c r="F61" s="387"/>
      <c r="G61" s="388">
        <f t="shared" ref="G61" si="12">SUM(G47:G60)</f>
        <v>55941.340295202383</v>
      </c>
      <c r="H61" s="388">
        <f t="shared" ref="H61" si="13">SUM(H47:H60)</f>
        <v>1785.5977509907132</v>
      </c>
      <c r="I61" s="386">
        <f t="shared" ref="I61" si="14">SUM(I47:I60)</f>
        <v>0.89279887549535653</v>
      </c>
      <c r="J61" s="358"/>
      <c r="K61" s="386">
        <f>SUM(K47:K60)</f>
        <v>8.9279887549535669E-2</v>
      </c>
      <c r="M61" s="389"/>
    </row>
    <row r="62" spans="2:13">
      <c r="G62" s="357"/>
    </row>
    <row r="63" spans="2:13" s="11" customFormat="1" ht="14.25">
      <c r="B63" s="802" t="s">
        <v>416</v>
      </c>
      <c r="C63" s="802"/>
      <c r="D63" s="802"/>
      <c r="E63" s="802"/>
      <c r="F63" s="802"/>
      <c r="G63" s="802"/>
      <c r="H63" s="802"/>
      <c r="I63" s="802"/>
      <c r="J63" s="802"/>
      <c r="K63" s="802"/>
      <c r="L63" s="802"/>
      <c r="M63" s="802"/>
    </row>
    <row r="64" spans="2:13" ht="13.5" thickBot="1">
      <c r="B64" s="380"/>
      <c r="C64" s="93"/>
      <c r="D64" s="93"/>
      <c r="E64" s="93"/>
      <c r="F64" s="93"/>
      <c r="G64" s="93"/>
      <c r="H64" s="93"/>
      <c r="I64" s="93"/>
      <c r="J64" s="93"/>
      <c r="K64" s="166"/>
    </row>
    <row r="65" spans="2:15" ht="6" customHeight="1">
      <c r="B65" s="361"/>
      <c r="C65" s="362"/>
      <c r="D65" s="362"/>
      <c r="E65" s="362"/>
      <c r="F65" s="362"/>
      <c r="G65" s="362"/>
      <c r="H65" s="362"/>
      <c r="I65" s="362"/>
      <c r="J65" s="362"/>
      <c r="K65" s="363"/>
    </row>
    <row r="66" spans="2:15" ht="14.45" customHeight="1">
      <c r="B66" s="803" t="s">
        <v>368</v>
      </c>
      <c r="C66" s="804" t="s">
        <v>369</v>
      </c>
      <c r="D66" s="804" t="s">
        <v>370</v>
      </c>
      <c r="E66" s="804" t="s">
        <v>371</v>
      </c>
      <c r="F66" s="805" t="s">
        <v>377</v>
      </c>
      <c r="G66" s="358" t="s">
        <v>361</v>
      </c>
      <c r="H66" s="359" t="s">
        <v>362</v>
      </c>
      <c r="I66" s="359"/>
      <c r="J66" s="358" t="s">
        <v>363</v>
      </c>
      <c r="K66" s="100" t="s">
        <v>364</v>
      </c>
    </row>
    <row r="67" spans="2:15">
      <c r="B67" s="803"/>
      <c r="C67" s="804"/>
      <c r="D67" s="804"/>
      <c r="E67" s="804"/>
      <c r="F67" s="805"/>
      <c r="G67" s="358" t="s">
        <v>365</v>
      </c>
      <c r="H67" s="359" t="s">
        <v>366</v>
      </c>
      <c r="I67" s="359"/>
      <c r="J67" s="358" t="s">
        <v>367</v>
      </c>
      <c r="K67" s="100" t="s">
        <v>366</v>
      </c>
      <c r="M67" s="92"/>
      <c r="O67" s="92"/>
    </row>
    <row r="68" spans="2:15">
      <c r="B68" s="803"/>
      <c r="C68" s="804"/>
      <c r="D68" s="804"/>
      <c r="E68" s="804"/>
      <c r="F68" s="358" t="s">
        <v>372</v>
      </c>
      <c r="G68" s="358" t="s">
        <v>373</v>
      </c>
      <c r="H68" s="358" t="s">
        <v>374</v>
      </c>
      <c r="I68" s="358" t="s">
        <v>375</v>
      </c>
      <c r="J68" s="358" t="s">
        <v>376</v>
      </c>
      <c r="K68" s="100" t="s">
        <v>375</v>
      </c>
    </row>
    <row r="69" spans="2:15" ht="6" customHeight="1" thickBot="1">
      <c r="B69" s="366"/>
      <c r="C69" s="358"/>
      <c r="D69" s="358"/>
      <c r="E69" s="358"/>
      <c r="F69" s="358"/>
      <c r="G69" s="358"/>
      <c r="H69" s="358"/>
      <c r="I69" s="358"/>
      <c r="J69" s="358"/>
      <c r="K69" s="100"/>
    </row>
    <row r="70" spans="2:15">
      <c r="B70" s="369" t="s">
        <v>378</v>
      </c>
      <c r="C70" s="370">
        <v>5.4000000000000001E-4</v>
      </c>
      <c r="D70" s="371">
        <f t="shared" ref="D70:E83" si="15">D47</f>
        <v>0.30166999999999999</v>
      </c>
      <c r="E70" s="370">
        <f t="shared" si="15"/>
        <v>100</v>
      </c>
      <c r="F70" s="390">
        <f t="shared" ref="F70:F82" si="16">(C70*((D70)^0.91)*((E70)^1.02))</f>
        <v>1.9896101692321179E-2</v>
      </c>
      <c r="G70" s="373">
        <f t="shared" ref="G70:G83" si="17">G47</f>
        <v>3364.4011793458026</v>
      </c>
      <c r="H70" s="373">
        <f t="shared" ref="H70:H83" si="18">F70*G70</f>
        <v>66.938467998029395</v>
      </c>
      <c r="I70" s="371">
        <f t="shared" ref="I70:I83" si="19">H70/2000</f>
        <v>3.3469233999014698E-2</v>
      </c>
      <c r="J70" s="370">
        <v>90</v>
      </c>
      <c r="K70" s="391">
        <f t="shared" ref="K70:K83" si="20">I70*((100-J70)/100)</f>
        <v>3.3469233999014699E-3</v>
      </c>
    </row>
    <row r="71" spans="2:15">
      <c r="B71" s="188" t="s">
        <v>379</v>
      </c>
      <c r="C71" s="97">
        <v>5.4000000000000001E-4</v>
      </c>
      <c r="D71" s="96">
        <f t="shared" si="15"/>
        <v>0.30166999999999999</v>
      </c>
      <c r="E71" s="97">
        <f t="shared" si="15"/>
        <v>75</v>
      </c>
      <c r="F71" s="341">
        <f t="shared" si="16"/>
        <v>1.4836466512805452E-2</v>
      </c>
      <c r="G71" s="368">
        <f t="shared" si="17"/>
        <v>3364.4011793458026</v>
      </c>
      <c r="H71" s="368">
        <f t="shared" si="18"/>
        <v>49.915825433007171</v>
      </c>
      <c r="I71" s="96">
        <f t="shared" si="19"/>
        <v>2.4957912716503584E-2</v>
      </c>
      <c r="J71" s="97">
        <v>90</v>
      </c>
      <c r="K71" s="392">
        <f t="shared" si="20"/>
        <v>2.4957912716503587E-3</v>
      </c>
    </row>
    <row r="72" spans="2:15">
      <c r="B72" s="188" t="s">
        <v>380</v>
      </c>
      <c r="C72" s="97">
        <v>5.4000000000000001E-4</v>
      </c>
      <c r="D72" s="96">
        <f t="shared" si="15"/>
        <v>0.30166999999999999</v>
      </c>
      <c r="E72" s="97">
        <f t="shared" si="15"/>
        <v>70</v>
      </c>
      <c r="F72" s="341">
        <f t="shared" si="16"/>
        <v>1.3828274527318472E-2</v>
      </c>
      <c r="G72" s="368">
        <f t="shared" si="17"/>
        <v>1682.2005896729013</v>
      </c>
      <c r="H72" s="368">
        <f t="shared" si="18"/>
        <v>23.261931564013892</v>
      </c>
      <c r="I72" s="96">
        <f t="shared" si="19"/>
        <v>1.1630965782006945E-2</v>
      </c>
      <c r="J72" s="97">
        <v>90</v>
      </c>
      <c r="K72" s="392">
        <f t="shared" si="20"/>
        <v>1.1630965782006945E-3</v>
      </c>
    </row>
    <row r="73" spans="2:15">
      <c r="B73" s="188" t="s">
        <v>381</v>
      </c>
      <c r="C73" s="97">
        <v>5.4000000000000001E-4</v>
      </c>
      <c r="D73" s="96">
        <f t="shared" si="15"/>
        <v>0.30166999999999999</v>
      </c>
      <c r="E73" s="97">
        <f t="shared" si="15"/>
        <v>35</v>
      </c>
      <c r="F73" s="341">
        <f t="shared" si="16"/>
        <v>6.8189482927769607E-3</v>
      </c>
      <c r="G73" s="368">
        <f t="shared" si="17"/>
        <v>9458.77360136077</v>
      </c>
      <c r="H73" s="368">
        <f t="shared" si="18"/>
        <v>64.498888100762812</v>
      </c>
      <c r="I73" s="96">
        <f t="shared" si="19"/>
        <v>3.2249444050381409E-2</v>
      </c>
      <c r="J73" s="97">
        <v>90</v>
      </c>
      <c r="K73" s="392">
        <f t="shared" si="20"/>
        <v>3.224944405038141E-3</v>
      </c>
    </row>
    <row r="74" spans="2:15">
      <c r="B74" s="188" t="s">
        <v>382</v>
      </c>
      <c r="C74" s="97">
        <v>5.4000000000000001E-4</v>
      </c>
      <c r="D74" s="96">
        <f t="shared" si="15"/>
        <v>0.30166999999999999</v>
      </c>
      <c r="E74" s="97">
        <f t="shared" si="15"/>
        <v>37.5</v>
      </c>
      <c r="F74" s="341">
        <f t="shared" si="16"/>
        <v>7.316104247024645E-3</v>
      </c>
      <c r="G74" s="368">
        <f t="shared" si="17"/>
        <v>2364.6934003401925</v>
      </c>
      <c r="H74" s="368">
        <f t="shared" si="18"/>
        <v>17.300343429140032</v>
      </c>
      <c r="I74" s="96">
        <f t="shared" si="19"/>
        <v>8.6501717145700159E-3</v>
      </c>
      <c r="J74" s="97">
        <v>90</v>
      </c>
      <c r="K74" s="392">
        <f t="shared" si="20"/>
        <v>8.6501717145700163E-4</v>
      </c>
    </row>
    <row r="75" spans="2:15">
      <c r="B75" s="188" t="s">
        <v>383</v>
      </c>
      <c r="C75" s="97">
        <v>5.4000000000000001E-4</v>
      </c>
      <c r="D75" s="96">
        <f t="shared" si="15"/>
        <v>0.30166999999999999</v>
      </c>
      <c r="E75" s="97">
        <f t="shared" si="15"/>
        <v>20</v>
      </c>
      <c r="F75" s="341">
        <f t="shared" si="16"/>
        <v>3.8531737023781059E-3</v>
      </c>
      <c r="G75" s="368">
        <f t="shared" si="17"/>
        <v>1182.3467001700963</v>
      </c>
      <c r="H75" s="368">
        <f t="shared" si="18"/>
        <v>4.555787212188946</v>
      </c>
      <c r="I75" s="96">
        <f t="shared" si="19"/>
        <v>2.2778936060944728E-3</v>
      </c>
      <c r="J75" s="97">
        <v>90</v>
      </c>
      <c r="K75" s="392">
        <f t="shared" si="20"/>
        <v>2.277893606094473E-4</v>
      </c>
    </row>
    <row r="76" spans="2:15">
      <c r="B76" s="188" t="s">
        <v>384</v>
      </c>
      <c r="C76" s="97">
        <v>5.4000000000000001E-4</v>
      </c>
      <c r="D76" s="96">
        <f t="shared" si="15"/>
        <v>0.30166999999999999</v>
      </c>
      <c r="E76" s="97">
        <f t="shared" si="15"/>
        <v>47.5</v>
      </c>
      <c r="F76" s="341">
        <f t="shared" si="16"/>
        <v>9.3109817162816549E-3</v>
      </c>
      <c r="G76" s="368">
        <f t="shared" si="17"/>
        <v>2758.8089670635582</v>
      </c>
      <c r="H76" s="368">
        <f t="shared" si="18"/>
        <v>25.68721985104267</v>
      </c>
      <c r="I76" s="96">
        <f t="shared" si="19"/>
        <v>1.2843609925521336E-2</v>
      </c>
      <c r="J76" s="97">
        <v>90</v>
      </c>
      <c r="K76" s="392">
        <f t="shared" si="20"/>
        <v>1.2843609925521336E-3</v>
      </c>
    </row>
    <row r="77" spans="2:15">
      <c r="B77" s="188" t="s">
        <v>385</v>
      </c>
      <c r="C77" s="97">
        <v>5.4000000000000001E-4</v>
      </c>
      <c r="D77" s="96">
        <f t="shared" si="15"/>
        <v>0.30166999999999999</v>
      </c>
      <c r="E77" s="97">
        <f t="shared" si="15"/>
        <v>44</v>
      </c>
      <c r="F77" s="341">
        <f t="shared" si="16"/>
        <v>8.6117164551618094E-3</v>
      </c>
      <c r="G77" s="368">
        <f t="shared" si="17"/>
        <v>5911.7335008504815</v>
      </c>
      <c r="H77" s="368">
        <f t="shared" si="18"/>
        <v>50.910172667805419</v>
      </c>
      <c r="I77" s="96">
        <f t="shared" si="19"/>
        <v>2.5455086333902709E-2</v>
      </c>
      <c r="J77" s="97">
        <v>90</v>
      </c>
      <c r="K77" s="392">
        <f t="shared" si="20"/>
        <v>2.5455086333902709E-3</v>
      </c>
    </row>
    <row r="78" spans="2:15">
      <c r="B78" s="188" t="s">
        <v>386</v>
      </c>
      <c r="C78" s="97">
        <v>5.4000000000000001E-4</v>
      </c>
      <c r="D78" s="96">
        <f t="shared" si="15"/>
        <v>0.30166999999999999</v>
      </c>
      <c r="E78" s="97">
        <f t="shared" si="15"/>
        <v>30</v>
      </c>
      <c r="F78" s="341">
        <f t="shared" si="16"/>
        <v>5.8268209338491091E-3</v>
      </c>
      <c r="G78" s="368">
        <f t="shared" si="17"/>
        <v>1970.5778336168273</v>
      </c>
      <c r="H78" s="368">
        <f t="shared" si="18"/>
        <v>11.482204172697555</v>
      </c>
      <c r="I78" s="96">
        <f t="shared" si="19"/>
        <v>5.7411020863487776E-3</v>
      </c>
      <c r="J78" s="97">
        <v>90</v>
      </c>
      <c r="K78" s="392">
        <f t="shared" si="20"/>
        <v>5.7411020863487778E-4</v>
      </c>
    </row>
    <row r="79" spans="2:15">
      <c r="B79" s="188" t="s">
        <v>385</v>
      </c>
      <c r="C79" s="97">
        <v>5.4000000000000001E-4</v>
      </c>
      <c r="D79" s="96">
        <f t="shared" si="15"/>
        <v>0.30166999999999999</v>
      </c>
      <c r="E79" s="97">
        <f t="shared" si="15"/>
        <v>45</v>
      </c>
      <c r="F79" s="341">
        <f t="shared" si="16"/>
        <v>8.8113967387942454E-3</v>
      </c>
      <c r="G79" s="368">
        <f t="shared" si="17"/>
        <v>1970.5778336168273</v>
      </c>
      <c r="H79" s="368">
        <f t="shared" si="18"/>
        <v>17.363543096671542</v>
      </c>
      <c r="I79" s="96">
        <f t="shared" si="19"/>
        <v>8.6817715483357705E-3</v>
      </c>
      <c r="J79" s="97">
        <v>90</v>
      </c>
      <c r="K79" s="392">
        <f t="shared" si="20"/>
        <v>8.6817715483357709E-4</v>
      </c>
    </row>
    <row r="80" spans="2:15">
      <c r="B80" s="188" t="s">
        <v>387</v>
      </c>
      <c r="C80" s="97">
        <v>5.4000000000000001E-4</v>
      </c>
      <c r="D80" s="96">
        <f t="shared" si="15"/>
        <v>0.30166999999999999</v>
      </c>
      <c r="E80" s="97">
        <f t="shared" si="15"/>
        <v>20</v>
      </c>
      <c r="F80" s="341">
        <f t="shared" si="16"/>
        <v>3.8531737023781059E-3</v>
      </c>
      <c r="G80" s="368">
        <f t="shared" si="17"/>
        <v>1970.5778336168273</v>
      </c>
      <c r="H80" s="368">
        <f t="shared" si="18"/>
        <v>7.5929786869815779</v>
      </c>
      <c r="I80" s="96">
        <f t="shared" si="19"/>
        <v>3.7964893434907889E-3</v>
      </c>
      <c r="J80" s="97">
        <v>90</v>
      </c>
      <c r="K80" s="392">
        <f t="shared" si="20"/>
        <v>3.7964893434907891E-4</v>
      </c>
    </row>
    <row r="81" spans="2:17">
      <c r="B81" s="188" t="s">
        <v>388</v>
      </c>
      <c r="C81" s="97">
        <v>5.4000000000000001E-4</v>
      </c>
      <c r="D81" s="96">
        <f t="shared" si="15"/>
        <v>0.30166999999999999</v>
      </c>
      <c r="E81" s="97">
        <f t="shared" si="15"/>
        <v>35</v>
      </c>
      <c r="F81" s="341">
        <f t="shared" si="16"/>
        <v>6.8189482927769607E-3</v>
      </c>
      <c r="G81" s="368">
        <f t="shared" si="17"/>
        <v>1970.5778336168273</v>
      </c>
      <c r="H81" s="368">
        <f t="shared" si="18"/>
        <v>13.437268354325587</v>
      </c>
      <c r="I81" s="96">
        <f t="shared" si="19"/>
        <v>6.7186341771627934E-3</v>
      </c>
      <c r="J81" s="97">
        <v>90</v>
      </c>
      <c r="K81" s="392">
        <f t="shared" si="20"/>
        <v>6.718634177162794E-4</v>
      </c>
    </row>
    <row r="82" spans="2:17">
      <c r="B82" s="188" t="s">
        <v>389</v>
      </c>
      <c r="C82" s="97">
        <v>5.4000000000000001E-4</v>
      </c>
      <c r="D82" s="96">
        <f t="shared" si="15"/>
        <v>0.30166999999999999</v>
      </c>
      <c r="E82" s="97">
        <f t="shared" si="15"/>
        <v>35</v>
      </c>
      <c r="F82" s="341">
        <f t="shared" si="16"/>
        <v>6.8189482927769607E-3</v>
      </c>
      <c r="G82" s="368">
        <f t="shared" si="17"/>
        <v>8985.8349212927333</v>
      </c>
      <c r="H82" s="368">
        <f t="shared" si="18"/>
        <v>61.273943695724675</v>
      </c>
      <c r="I82" s="96">
        <f t="shared" si="19"/>
        <v>3.0636971847862338E-2</v>
      </c>
      <c r="J82" s="97">
        <v>90</v>
      </c>
      <c r="K82" s="392">
        <f t="shared" si="20"/>
        <v>3.0636971847862338E-3</v>
      </c>
    </row>
    <row r="83" spans="2:17" ht="13.5" thickBot="1">
      <c r="B83" s="104" t="s">
        <v>390</v>
      </c>
      <c r="C83" s="128">
        <v>5.4000000000000001E-4</v>
      </c>
      <c r="D83" s="376">
        <f t="shared" si="15"/>
        <v>0.30166999999999999</v>
      </c>
      <c r="E83" s="128">
        <f t="shared" si="15"/>
        <v>14</v>
      </c>
      <c r="F83" s="393">
        <f>(C83*((D83)^0.91)*((E83)^1.02))*(1+'Key Inputs'!G2)</f>
        <v>3.0797568422796526E-3</v>
      </c>
      <c r="G83" s="378">
        <f t="shared" si="17"/>
        <v>8985.8349212927333</v>
      </c>
      <c r="H83" s="378">
        <f t="shared" si="18"/>
        <v>27.67418658244674</v>
      </c>
      <c r="I83" s="376">
        <f t="shared" si="19"/>
        <v>1.383709329122337E-2</v>
      </c>
      <c r="J83" s="128">
        <v>90</v>
      </c>
      <c r="K83" s="394">
        <f t="shared" si="20"/>
        <v>1.3837093291223371E-3</v>
      </c>
    </row>
    <row r="84" spans="2:17" s="114" customFormat="1">
      <c r="B84" s="360" t="s">
        <v>417</v>
      </c>
      <c r="C84" s="358"/>
      <c r="D84" s="386"/>
      <c r="E84" s="358"/>
      <c r="F84" s="387"/>
      <c r="G84" s="388">
        <f t="shared" ref="G84" si="21">SUM(G70:G83)</f>
        <v>55941.340295202383</v>
      </c>
      <c r="H84" s="388">
        <f t="shared" ref="H84" si="22">SUM(H70:H83)</f>
        <v>441.89276084483799</v>
      </c>
      <c r="I84" s="386">
        <f t="shared" ref="I84" si="23">SUM(I70:I83)</f>
        <v>0.22094638042241899</v>
      </c>
      <c r="J84" s="358"/>
      <c r="K84" s="386">
        <f>SUM(K70:K83)</f>
        <v>2.2094638042241904E-2</v>
      </c>
      <c r="M84" s="389"/>
    </row>
    <row r="85" spans="2:17">
      <c r="F85" s="357"/>
    </row>
    <row r="86" spans="2:17" s="11" customFormat="1">
      <c r="B86" s="802" t="s">
        <v>418</v>
      </c>
      <c r="C86" s="802"/>
      <c r="D86" s="802"/>
      <c r="E86" s="802"/>
      <c r="F86" s="802"/>
      <c r="G86" s="802"/>
      <c r="H86" s="802"/>
      <c r="I86" s="802"/>
      <c r="J86" s="802"/>
      <c r="K86" s="802"/>
      <c r="L86" s="802"/>
      <c r="M86" s="802"/>
    </row>
    <row r="87" spans="2:17" ht="13.5" thickBot="1">
      <c r="B87" s="380"/>
      <c r="C87" s="93"/>
      <c r="D87" s="93"/>
      <c r="E87" s="93"/>
      <c r="F87" s="93"/>
      <c r="G87" s="93"/>
      <c r="H87" s="93"/>
      <c r="I87" s="93"/>
      <c r="J87" s="93"/>
      <c r="K87" s="166"/>
    </row>
    <row r="88" spans="2:17" ht="6" customHeight="1">
      <c r="B88" s="361"/>
      <c r="C88" s="362"/>
      <c r="D88" s="362"/>
      <c r="E88" s="362"/>
      <c r="F88" s="362"/>
      <c r="G88" s="362"/>
      <c r="H88" s="362"/>
      <c r="I88" s="362"/>
      <c r="J88" s="362"/>
      <c r="K88" s="362"/>
      <c r="L88" s="362"/>
      <c r="M88" s="363"/>
    </row>
    <row r="89" spans="2:17" ht="14.45" customHeight="1">
      <c r="B89" s="803" t="s">
        <v>368</v>
      </c>
      <c r="C89" s="804" t="s">
        <v>369</v>
      </c>
      <c r="D89" s="804" t="s">
        <v>392</v>
      </c>
      <c r="E89" s="804" t="s">
        <v>371</v>
      </c>
      <c r="F89" s="804" t="s">
        <v>393</v>
      </c>
      <c r="G89" s="804" t="s">
        <v>394</v>
      </c>
      <c r="H89" s="805" t="s">
        <v>377</v>
      </c>
      <c r="I89" s="359" t="s">
        <v>361</v>
      </c>
      <c r="J89" s="359" t="s">
        <v>362</v>
      </c>
      <c r="K89" s="359"/>
      <c r="L89" s="358" t="s">
        <v>363</v>
      </c>
      <c r="M89" s="100" t="s">
        <v>364</v>
      </c>
    </row>
    <row r="90" spans="2:17">
      <c r="B90" s="803"/>
      <c r="C90" s="804"/>
      <c r="D90" s="804"/>
      <c r="E90" s="804"/>
      <c r="F90" s="804"/>
      <c r="G90" s="804" t="s">
        <v>365</v>
      </c>
      <c r="H90" s="805"/>
      <c r="I90" s="359" t="s">
        <v>365</v>
      </c>
      <c r="J90" s="359" t="s">
        <v>366</v>
      </c>
      <c r="K90" s="359"/>
      <c r="L90" s="358" t="s">
        <v>367</v>
      </c>
      <c r="M90" s="100" t="s">
        <v>366</v>
      </c>
      <c r="O90" s="92"/>
    </row>
    <row r="91" spans="2:17">
      <c r="B91" s="803"/>
      <c r="C91" s="804"/>
      <c r="D91" s="804"/>
      <c r="E91" s="804"/>
      <c r="F91" s="804"/>
      <c r="G91" s="804" t="s">
        <v>373</v>
      </c>
      <c r="H91" s="358" t="s">
        <v>372</v>
      </c>
      <c r="I91" s="358" t="s">
        <v>373</v>
      </c>
      <c r="J91" s="358" t="s">
        <v>374</v>
      </c>
      <c r="K91" s="358" t="s">
        <v>375</v>
      </c>
      <c r="L91" s="358" t="s">
        <v>376</v>
      </c>
      <c r="M91" s="100" t="s">
        <v>375</v>
      </c>
      <c r="N91" s="92" t="s">
        <v>410</v>
      </c>
      <c r="P91" s="92" t="s">
        <v>411</v>
      </c>
    </row>
    <row r="92" spans="2:17" ht="6" customHeight="1" thickBot="1">
      <c r="B92" s="366"/>
      <c r="C92" s="358"/>
      <c r="D92" s="358"/>
      <c r="E92" s="358"/>
      <c r="F92" s="358"/>
      <c r="G92" s="358"/>
      <c r="H92" s="358"/>
      <c r="I92" s="358"/>
      <c r="J92" s="358"/>
      <c r="K92" s="358"/>
      <c r="L92" s="358"/>
      <c r="M92" s="100"/>
    </row>
    <row r="93" spans="2:17">
      <c r="B93" s="369" t="s">
        <v>378</v>
      </c>
      <c r="C93" s="370">
        <v>4.9000000000000004</v>
      </c>
      <c r="D93" s="370">
        <v>6</v>
      </c>
      <c r="E93" s="370">
        <f>200000/2000</f>
        <v>100</v>
      </c>
      <c r="F93" s="370">
        <v>0.7</v>
      </c>
      <c r="G93" s="370">
        <v>0.45</v>
      </c>
      <c r="H93" s="383">
        <f t="shared" ref="H93:H100" si="24">C93*((D93/12)^F93)*((E93/3)^G93)</f>
        <v>14.614047629289653</v>
      </c>
      <c r="I93" s="373">
        <f>N93/$P$93*$C$15</f>
        <v>2018.6407076074815</v>
      </c>
      <c r="J93" s="373">
        <f t="shared" ref="J93:J100" si="25">H93*I93</f>
        <v>29500.511447398701</v>
      </c>
      <c r="K93" s="372">
        <f t="shared" ref="K93:K100" si="26">J93/2000</f>
        <v>14.75025572369935</v>
      </c>
      <c r="L93" s="741">
        <v>90</v>
      </c>
      <c r="M93" s="374">
        <f t="shared" ref="M93:M100" si="27">K93*((100-L93)/100)</f>
        <v>1.475025572369935</v>
      </c>
      <c r="N93" s="382">
        <v>1331.7073170731708</v>
      </c>
      <c r="P93" s="381">
        <v>2287527</v>
      </c>
      <c r="Q93" s="92" t="s">
        <v>144</v>
      </c>
    </row>
    <row r="94" spans="2:17">
      <c r="B94" s="188" t="s">
        <v>379</v>
      </c>
      <c r="C94" s="97">
        <v>4.9000000000000004</v>
      </c>
      <c r="D94" s="97">
        <v>6</v>
      </c>
      <c r="E94" s="97">
        <f>150000/2000</f>
        <v>75</v>
      </c>
      <c r="F94" s="97">
        <v>0.7</v>
      </c>
      <c r="G94" s="97">
        <v>0.45</v>
      </c>
      <c r="H94" s="384">
        <f t="shared" si="24"/>
        <v>12.839499270994736</v>
      </c>
      <c r="I94" s="368">
        <f t="shared" ref="I94:I100" si="28">N94/$P$93*$C$15</f>
        <v>2018.6407076074815</v>
      </c>
      <c r="J94" s="368">
        <f t="shared" si="25"/>
        <v>25918.335893726558</v>
      </c>
      <c r="K94" s="367">
        <f t="shared" si="26"/>
        <v>12.959167946863278</v>
      </c>
      <c r="L94" s="742">
        <v>90</v>
      </c>
      <c r="M94" s="375">
        <f t="shared" si="27"/>
        <v>1.2959167946863279</v>
      </c>
      <c r="N94" s="382">
        <v>1331.7073170731708</v>
      </c>
    </row>
    <row r="95" spans="2:17">
      <c r="B95" s="188" t="s">
        <v>380</v>
      </c>
      <c r="C95" s="97">
        <v>4.9000000000000004</v>
      </c>
      <c r="D95" s="97">
        <v>6</v>
      </c>
      <c r="E95" s="97">
        <f>140000/2000</f>
        <v>70</v>
      </c>
      <c r="F95" s="97">
        <v>0.7</v>
      </c>
      <c r="G95" s="97">
        <v>0.45</v>
      </c>
      <c r="H95" s="384">
        <f t="shared" si="24"/>
        <v>12.446998478072306</v>
      </c>
      <c r="I95" s="368">
        <f t="shared" si="28"/>
        <v>1009.3203538037408</v>
      </c>
      <c r="J95" s="368">
        <f t="shared" si="25"/>
        <v>12563.008907682562</v>
      </c>
      <c r="K95" s="367">
        <f t="shared" si="26"/>
        <v>6.281504453841281</v>
      </c>
      <c r="L95" s="742">
        <v>90</v>
      </c>
      <c r="M95" s="375">
        <f t="shared" si="27"/>
        <v>0.62815044538412812</v>
      </c>
      <c r="N95" s="382">
        <v>665.85365853658539</v>
      </c>
    </row>
    <row r="96" spans="2:17">
      <c r="B96" s="188" t="s">
        <v>378</v>
      </c>
      <c r="C96" s="97">
        <v>4.9000000000000004</v>
      </c>
      <c r="D96" s="97">
        <v>6</v>
      </c>
      <c r="E96" s="97">
        <f>200000/2000</f>
        <v>100</v>
      </c>
      <c r="F96" s="97">
        <v>0.7</v>
      </c>
      <c r="G96" s="97">
        <v>0.45</v>
      </c>
      <c r="H96" s="384">
        <f t="shared" si="24"/>
        <v>14.614047629289653</v>
      </c>
      <c r="I96" s="368">
        <f t="shared" si="28"/>
        <v>13188.452623035546</v>
      </c>
      <c r="J96" s="368">
        <f t="shared" si="25"/>
        <v>192736.67478967152</v>
      </c>
      <c r="K96" s="367">
        <f t="shared" si="26"/>
        <v>96.368337394835763</v>
      </c>
      <c r="L96" s="97">
        <v>90</v>
      </c>
      <c r="M96" s="375">
        <f t="shared" si="27"/>
        <v>9.6368337394835777</v>
      </c>
      <c r="N96" s="382">
        <v>8700.4878048780483</v>
      </c>
    </row>
    <row r="97" spans="2:16">
      <c r="B97" s="188" t="s">
        <v>379</v>
      </c>
      <c r="C97" s="97">
        <v>4.9000000000000004</v>
      </c>
      <c r="D97" s="97">
        <v>6</v>
      </c>
      <c r="E97" s="97">
        <f>150000/2000</f>
        <v>75</v>
      </c>
      <c r="F97" s="97">
        <v>0.7</v>
      </c>
      <c r="G97" s="97">
        <v>0.45</v>
      </c>
      <c r="H97" s="384">
        <f t="shared" si="24"/>
        <v>12.839499270994736</v>
      </c>
      <c r="I97" s="368">
        <f t="shared" si="28"/>
        <v>13188.452623035546</v>
      </c>
      <c r="J97" s="368">
        <f t="shared" si="25"/>
        <v>169333.1278390135</v>
      </c>
      <c r="K97" s="367">
        <f t="shared" si="26"/>
        <v>84.666563919506743</v>
      </c>
      <c r="L97" s="97">
        <v>90</v>
      </c>
      <c r="M97" s="375">
        <f t="shared" si="27"/>
        <v>8.466656391950675</v>
      </c>
      <c r="N97" s="382">
        <v>8700.4878048780483</v>
      </c>
    </row>
    <row r="98" spans="2:16">
      <c r="B98" s="188" t="s">
        <v>380</v>
      </c>
      <c r="C98" s="97">
        <v>4.9000000000000004</v>
      </c>
      <c r="D98" s="97">
        <v>6</v>
      </c>
      <c r="E98" s="97">
        <f>140000/2000</f>
        <v>70</v>
      </c>
      <c r="F98" s="97">
        <v>0.7</v>
      </c>
      <c r="G98" s="97">
        <v>0.45</v>
      </c>
      <c r="H98" s="384">
        <f t="shared" si="24"/>
        <v>12.446998478072306</v>
      </c>
      <c r="I98" s="368">
        <f t="shared" si="28"/>
        <v>6594.226311517773</v>
      </c>
      <c r="J98" s="368">
        <f t="shared" si="25"/>
        <v>82078.324863526082</v>
      </c>
      <c r="K98" s="367">
        <f t="shared" si="26"/>
        <v>41.039162431763039</v>
      </c>
      <c r="L98" s="97">
        <v>90</v>
      </c>
      <c r="M98" s="375">
        <f t="shared" si="27"/>
        <v>4.1039162431763039</v>
      </c>
      <c r="N98" s="382">
        <v>4350.2439024390242</v>
      </c>
    </row>
    <row r="99" spans="2:16">
      <c r="B99" s="188" t="s">
        <v>395</v>
      </c>
      <c r="C99" s="97">
        <v>4.9000000000000004</v>
      </c>
      <c r="D99" s="97">
        <v>6</v>
      </c>
      <c r="E99" s="97">
        <v>60</v>
      </c>
      <c r="F99" s="97">
        <v>0.7</v>
      </c>
      <c r="G99" s="97">
        <v>0.45</v>
      </c>
      <c r="H99" s="384">
        <f t="shared" si="24"/>
        <v>11.612843708191425</v>
      </c>
      <c r="I99" s="368">
        <f t="shared" si="28"/>
        <v>47748.616737638506</v>
      </c>
      <c r="J99" s="368">
        <f t="shared" si="25"/>
        <v>554497.22345652909</v>
      </c>
      <c r="K99" s="367">
        <f t="shared" si="26"/>
        <v>277.24861172826456</v>
      </c>
      <c r="L99" s="97">
        <v>90</v>
      </c>
      <c r="M99" s="375">
        <f t="shared" si="27"/>
        <v>27.724861172826458</v>
      </c>
      <c r="N99" s="382">
        <v>31500</v>
      </c>
    </row>
    <row r="100" spans="2:16" ht="13.5" thickBot="1">
      <c r="B100" s="104" t="s">
        <v>396</v>
      </c>
      <c r="C100" s="128">
        <v>4.9000000000000004</v>
      </c>
      <c r="D100" s="128">
        <v>6</v>
      </c>
      <c r="E100" s="128">
        <v>30</v>
      </c>
      <c r="F100" s="128">
        <v>0.7</v>
      </c>
      <c r="G100" s="128">
        <v>0.45</v>
      </c>
      <c r="H100" s="385">
        <f t="shared" si="24"/>
        <v>8.5010991812076107</v>
      </c>
      <c r="I100" s="378">
        <f t="shared" si="28"/>
        <v>47748.616737638506</v>
      </c>
      <c r="J100" s="378">
        <f t="shared" si="25"/>
        <v>405915.72665213473</v>
      </c>
      <c r="K100" s="377">
        <f t="shared" si="26"/>
        <v>202.95786332606735</v>
      </c>
      <c r="L100" s="128">
        <v>90</v>
      </c>
      <c r="M100" s="379">
        <f t="shared" si="27"/>
        <v>20.295786332606738</v>
      </c>
      <c r="N100" s="382">
        <v>31500</v>
      </c>
    </row>
    <row r="101" spans="2:16">
      <c r="B101" s="114" t="s">
        <v>419</v>
      </c>
      <c r="I101" s="388">
        <f>SUM(I93:I100)</f>
        <v>133514.96680188458</v>
      </c>
      <c r="J101" s="388">
        <f>SUM(J93:J100)</f>
        <v>1472542.9338496828</v>
      </c>
      <c r="K101" s="386">
        <f>SUM(K93:K100)</f>
        <v>736.27146692484143</v>
      </c>
      <c r="L101" s="358"/>
      <c r="M101" s="386">
        <f>SUM(M93:M100)</f>
        <v>73.627146692484146</v>
      </c>
    </row>
    <row r="103" spans="2:16" s="11" customFormat="1" ht="14.25">
      <c r="B103" s="802" t="s">
        <v>421</v>
      </c>
      <c r="C103" s="802"/>
      <c r="D103" s="802"/>
      <c r="E103" s="802"/>
      <c r="F103" s="802"/>
      <c r="G103" s="802"/>
      <c r="H103" s="802"/>
      <c r="I103" s="802"/>
      <c r="J103" s="802"/>
      <c r="K103" s="802"/>
      <c r="L103" s="802"/>
      <c r="M103" s="802"/>
    </row>
    <row r="104" spans="2:16" ht="13.5" thickBot="1">
      <c r="B104" s="380"/>
      <c r="C104" s="93"/>
      <c r="D104" s="93"/>
      <c r="E104" s="93"/>
      <c r="F104" s="93"/>
      <c r="G104" s="93"/>
      <c r="H104" s="93"/>
      <c r="I104" s="93"/>
      <c r="J104" s="93"/>
      <c r="K104" s="166"/>
    </row>
    <row r="105" spans="2:16" ht="6" customHeight="1">
      <c r="B105" s="361"/>
      <c r="C105" s="362"/>
      <c r="D105" s="362"/>
      <c r="E105" s="362"/>
      <c r="F105" s="362"/>
      <c r="G105" s="362"/>
      <c r="H105" s="362"/>
      <c r="I105" s="362"/>
      <c r="J105" s="362"/>
      <c r="K105" s="362"/>
      <c r="L105" s="362"/>
      <c r="M105" s="363"/>
    </row>
    <row r="106" spans="2:16" ht="14.45" customHeight="1">
      <c r="B106" s="803" t="s">
        <v>368</v>
      </c>
      <c r="C106" s="804" t="s">
        <v>369</v>
      </c>
      <c r="D106" s="804" t="s">
        <v>392</v>
      </c>
      <c r="E106" s="804" t="s">
        <v>371</v>
      </c>
      <c r="F106" s="804" t="s">
        <v>393</v>
      </c>
      <c r="G106" s="804" t="s">
        <v>394</v>
      </c>
      <c r="H106" s="805" t="s">
        <v>377</v>
      </c>
      <c r="I106" s="359" t="s">
        <v>361</v>
      </c>
      <c r="J106" s="359" t="s">
        <v>362</v>
      </c>
      <c r="K106" s="359"/>
      <c r="L106" s="358" t="s">
        <v>363</v>
      </c>
      <c r="M106" s="100" t="s">
        <v>364</v>
      </c>
    </row>
    <row r="107" spans="2:16">
      <c r="B107" s="803"/>
      <c r="C107" s="804"/>
      <c r="D107" s="804"/>
      <c r="E107" s="804"/>
      <c r="F107" s="804"/>
      <c r="G107" s="804" t="s">
        <v>365</v>
      </c>
      <c r="H107" s="805"/>
      <c r="I107" s="359" t="s">
        <v>365</v>
      </c>
      <c r="J107" s="359" t="s">
        <v>366</v>
      </c>
      <c r="K107" s="359"/>
      <c r="L107" s="358" t="s">
        <v>367</v>
      </c>
      <c r="M107" s="100" t="s">
        <v>366</v>
      </c>
      <c r="O107" s="92"/>
    </row>
    <row r="108" spans="2:16">
      <c r="B108" s="803"/>
      <c r="C108" s="804"/>
      <c r="D108" s="804"/>
      <c r="E108" s="804"/>
      <c r="F108" s="804"/>
      <c r="G108" s="804" t="s">
        <v>373</v>
      </c>
      <c r="H108" s="358" t="s">
        <v>372</v>
      </c>
      <c r="I108" s="358" t="s">
        <v>373</v>
      </c>
      <c r="J108" s="358" t="s">
        <v>374</v>
      </c>
      <c r="K108" s="358" t="s">
        <v>375</v>
      </c>
      <c r="L108" s="358" t="s">
        <v>376</v>
      </c>
      <c r="M108" s="100" t="s">
        <v>375</v>
      </c>
      <c r="N108" s="92"/>
      <c r="P108" s="92"/>
    </row>
    <row r="109" spans="2:16" ht="6" customHeight="1" thickBot="1">
      <c r="B109" s="366"/>
      <c r="C109" s="358"/>
      <c r="D109" s="358"/>
      <c r="E109" s="358"/>
      <c r="F109" s="358"/>
      <c r="G109" s="358"/>
      <c r="H109" s="358"/>
      <c r="I109" s="358"/>
      <c r="J109" s="358"/>
      <c r="K109" s="358"/>
      <c r="L109" s="358"/>
      <c r="M109" s="100"/>
    </row>
    <row r="110" spans="2:16">
      <c r="B110" s="743" t="s">
        <v>378</v>
      </c>
      <c r="C110" s="370">
        <v>1.5</v>
      </c>
      <c r="D110" s="370">
        <f t="shared" ref="D110:E117" si="29">D93</f>
        <v>6</v>
      </c>
      <c r="E110" s="370">
        <f t="shared" si="29"/>
        <v>100</v>
      </c>
      <c r="F110" s="370">
        <v>0.9</v>
      </c>
      <c r="G110" s="370">
        <f t="shared" ref="G110:G117" si="30">G93</f>
        <v>0.45</v>
      </c>
      <c r="H110" s="383">
        <f t="shared" ref="H110:H117" si="31">C110*((D110/12)^F110)*((E110/3)^G110)</f>
        <v>3.8945716517493345</v>
      </c>
      <c r="I110" s="373">
        <f t="shared" ref="I110:I117" si="32">I93</f>
        <v>2018.6407076074815</v>
      </c>
      <c r="J110" s="373">
        <f t="shared" ref="J110:J117" si="33">H110*I110</f>
        <v>7861.7408749153146</v>
      </c>
      <c r="K110" s="372">
        <f t="shared" ref="K110:K117" si="34">J110/2000</f>
        <v>3.9308704374576573</v>
      </c>
      <c r="L110" s="370">
        <f t="shared" ref="L110:L117" si="35">L93</f>
        <v>90</v>
      </c>
      <c r="M110" s="374">
        <f t="shared" ref="M110:M117" si="36">K110*((100-L110)/100)</f>
        <v>0.39308704374576575</v>
      </c>
    </row>
    <row r="111" spans="2:16">
      <c r="B111" s="157" t="s">
        <v>379</v>
      </c>
      <c r="C111" s="97">
        <v>1.5</v>
      </c>
      <c r="D111" s="97">
        <f t="shared" si="29"/>
        <v>6</v>
      </c>
      <c r="E111" s="97">
        <f t="shared" si="29"/>
        <v>75</v>
      </c>
      <c r="F111" s="97">
        <v>0.9</v>
      </c>
      <c r="G111" s="97">
        <f t="shared" si="30"/>
        <v>0.45</v>
      </c>
      <c r="H111" s="384">
        <f t="shared" si="31"/>
        <v>3.4216632620830536</v>
      </c>
      <c r="I111" s="368">
        <f t="shared" si="32"/>
        <v>2018.6407076074815</v>
      </c>
      <c r="J111" s="368">
        <f t="shared" si="33"/>
        <v>6907.1087485658591</v>
      </c>
      <c r="K111" s="367">
        <f t="shared" si="34"/>
        <v>3.4535543742829296</v>
      </c>
      <c r="L111" s="97">
        <f t="shared" si="35"/>
        <v>90</v>
      </c>
      <c r="M111" s="375">
        <f t="shared" si="36"/>
        <v>0.345355437428293</v>
      </c>
    </row>
    <row r="112" spans="2:16">
      <c r="B112" s="157" t="s">
        <v>380</v>
      </c>
      <c r="C112" s="97">
        <v>1.5</v>
      </c>
      <c r="D112" s="97">
        <f t="shared" si="29"/>
        <v>6</v>
      </c>
      <c r="E112" s="97">
        <f t="shared" si="29"/>
        <v>70</v>
      </c>
      <c r="F112" s="97">
        <v>0.9</v>
      </c>
      <c r="G112" s="97">
        <f t="shared" si="30"/>
        <v>0.45</v>
      </c>
      <c r="H112" s="384">
        <f t="shared" si="31"/>
        <v>3.3170637356424018</v>
      </c>
      <c r="I112" s="368">
        <f t="shared" si="32"/>
        <v>1009.3203538037408</v>
      </c>
      <c r="J112" s="368">
        <f t="shared" si="33"/>
        <v>3347.9799432481468</v>
      </c>
      <c r="K112" s="367">
        <f t="shared" si="34"/>
        <v>1.6739899716240734</v>
      </c>
      <c r="L112" s="97">
        <f t="shared" si="35"/>
        <v>90</v>
      </c>
      <c r="M112" s="375">
        <f t="shared" si="36"/>
        <v>0.16739899716240736</v>
      </c>
    </row>
    <row r="113" spans="2:16">
      <c r="B113" s="188" t="s">
        <v>378</v>
      </c>
      <c r="C113" s="97">
        <v>1.5</v>
      </c>
      <c r="D113" s="97">
        <f t="shared" si="29"/>
        <v>6</v>
      </c>
      <c r="E113" s="97">
        <f t="shared" si="29"/>
        <v>100</v>
      </c>
      <c r="F113" s="97">
        <v>0.9</v>
      </c>
      <c r="G113" s="97">
        <f t="shared" si="30"/>
        <v>0.45</v>
      </c>
      <c r="H113" s="384">
        <f t="shared" si="31"/>
        <v>3.8945716517493345</v>
      </c>
      <c r="I113" s="368">
        <f t="shared" si="32"/>
        <v>13188.452623035546</v>
      </c>
      <c r="J113" s="368">
        <f t="shared" si="33"/>
        <v>51363.37371611339</v>
      </c>
      <c r="K113" s="367">
        <f t="shared" si="34"/>
        <v>25.681686858056697</v>
      </c>
      <c r="L113" s="97">
        <f t="shared" si="35"/>
        <v>90</v>
      </c>
      <c r="M113" s="375">
        <f t="shared" si="36"/>
        <v>2.56816868580567</v>
      </c>
    </row>
    <row r="114" spans="2:16">
      <c r="B114" s="188" t="s">
        <v>379</v>
      </c>
      <c r="C114" s="97">
        <v>1.5</v>
      </c>
      <c r="D114" s="97">
        <f t="shared" si="29"/>
        <v>6</v>
      </c>
      <c r="E114" s="97">
        <f t="shared" si="29"/>
        <v>75</v>
      </c>
      <c r="F114" s="97">
        <v>0.9</v>
      </c>
      <c r="G114" s="97">
        <f t="shared" si="30"/>
        <v>0.45</v>
      </c>
      <c r="H114" s="384">
        <f t="shared" si="31"/>
        <v>3.4216632620830536</v>
      </c>
      <c r="I114" s="368">
        <f t="shared" si="32"/>
        <v>13188.452623035546</v>
      </c>
      <c r="J114" s="368">
        <f t="shared" si="33"/>
        <v>45126.443823963607</v>
      </c>
      <c r="K114" s="367">
        <f t="shared" si="34"/>
        <v>22.563221911981802</v>
      </c>
      <c r="L114" s="97">
        <f t="shared" si="35"/>
        <v>90</v>
      </c>
      <c r="M114" s="375">
        <f t="shared" si="36"/>
        <v>2.2563221911981803</v>
      </c>
    </row>
    <row r="115" spans="2:16">
      <c r="B115" s="188" t="s">
        <v>380</v>
      </c>
      <c r="C115" s="97">
        <v>1.5</v>
      </c>
      <c r="D115" s="97">
        <f t="shared" si="29"/>
        <v>6</v>
      </c>
      <c r="E115" s="97">
        <f t="shared" si="29"/>
        <v>70</v>
      </c>
      <c r="F115" s="97">
        <v>0.9</v>
      </c>
      <c r="G115" s="97">
        <f t="shared" si="30"/>
        <v>0.45</v>
      </c>
      <c r="H115" s="384">
        <f t="shared" si="31"/>
        <v>3.3170637356424018</v>
      </c>
      <c r="I115" s="368">
        <f t="shared" si="32"/>
        <v>6594.226311517773</v>
      </c>
      <c r="J115" s="368">
        <f t="shared" si="33"/>
        <v>21873.468962554562</v>
      </c>
      <c r="K115" s="367">
        <f t="shared" si="34"/>
        <v>10.936734481277281</v>
      </c>
      <c r="L115" s="97">
        <f t="shared" si="35"/>
        <v>90</v>
      </c>
      <c r="M115" s="375">
        <f t="shared" si="36"/>
        <v>1.0936734481277282</v>
      </c>
    </row>
    <row r="116" spans="2:16">
      <c r="B116" s="188" t="s">
        <v>395</v>
      </c>
      <c r="C116" s="97">
        <v>1.5</v>
      </c>
      <c r="D116" s="97">
        <f t="shared" si="29"/>
        <v>6</v>
      </c>
      <c r="E116" s="97">
        <f t="shared" si="29"/>
        <v>60</v>
      </c>
      <c r="F116" s="97">
        <v>0.9</v>
      </c>
      <c r="G116" s="97">
        <f t="shared" si="30"/>
        <v>0.45</v>
      </c>
      <c r="H116" s="384">
        <f t="shared" si="31"/>
        <v>3.0947656015211922</v>
      </c>
      <c r="I116" s="368">
        <f t="shared" si="32"/>
        <v>47748.616737638506</v>
      </c>
      <c r="J116" s="368">
        <f t="shared" si="33"/>
        <v>147770.7765998627</v>
      </c>
      <c r="K116" s="367">
        <f t="shared" si="34"/>
        <v>73.88538829993135</v>
      </c>
      <c r="L116" s="97">
        <f t="shared" si="35"/>
        <v>90</v>
      </c>
      <c r="M116" s="375">
        <f t="shared" si="36"/>
        <v>7.3885388299931352</v>
      </c>
    </row>
    <row r="117" spans="2:16" ht="13.5" thickBot="1">
      <c r="B117" s="104" t="s">
        <v>396</v>
      </c>
      <c r="C117" s="128">
        <v>1.5</v>
      </c>
      <c r="D117" s="128">
        <f t="shared" si="29"/>
        <v>6</v>
      </c>
      <c r="E117" s="128">
        <f t="shared" si="29"/>
        <v>30</v>
      </c>
      <c r="F117" s="128">
        <v>0.9</v>
      </c>
      <c r="G117" s="128">
        <f t="shared" si="30"/>
        <v>0.45</v>
      </c>
      <c r="H117" s="385">
        <f t="shared" si="31"/>
        <v>2.2655010247458685</v>
      </c>
      <c r="I117" s="378">
        <f t="shared" si="32"/>
        <v>47748.616737638506</v>
      </c>
      <c r="J117" s="378">
        <f t="shared" si="33"/>
        <v>108174.54014931776</v>
      </c>
      <c r="K117" s="377">
        <f t="shared" si="34"/>
        <v>54.087270074658882</v>
      </c>
      <c r="L117" s="128">
        <f t="shared" si="35"/>
        <v>90</v>
      </c>
      <c r="M117" s="379">
        <f t="shared" si="36"/>
        <v>5.4087270074658882</v>
      </c>
    </row>
    <row r="118" spans="2:16">
      <c r="B118" s="114" t="s">
        <v>420</v>
      </c>
      <c r="I118" s="388">
        <f>SUM(I110:I117)</f>
        <v>133514.96680188458</v>
      </c>
      <c r="J118" s="388">
        <f>SUM(J110:J117)</f>
        <v>392425.43281854136</v>
      </c>
      <c r="K118" s="386">
        <f>SUM(K110:K117)</f>
        <v>196.21271640927068</v>
      </c>
      <c r="L118" s="358"/>
      <c r="M118" s="386">
        <f>SUM(M110:M117)</f>
        <v>19.621271640927066</v>
      </c>
    </row>
    <row r="120" spans="2:16" s="11" customFormat="1" ht="14.25">
      <c r="B120" s="802" t="s">
        <v>422</v>
      </c>
      <c r="C120" s="802"/>
      <c r="D120" s="802"/>
      <c r="E120" s="802"/>
      <c r="F120" s="802"/>
      <c r="G120" s="802"/>
      <c r="H120" s="802"/>
      <c r="I120" s="802"/>
      <c r="J120" s="802"/>
      <c r="K120" s="802"/>
      <c r="L120" s="802"/>
      <c r="M120" s="802"/>
    </row>
    <row r="121" spans="2:16" ht="13.5" thickBot="1">
      <c r="B121" s="380"/>
      <c r="C121" s="93"/>
      <c r="D121" s="93"/>
      <c r="E121" s="93"/>
      <c r="F121" s="93"/>
      <c r="G121" s="93"/>
      <c r="H121" s="93"/>
      <c r="I121" s="93"/>
      <c r="J121" s="93"/>
      <c r="K121" s="166"/>
    </row>
    <row r="122" spans="2:16" ht="6" customHeight="1">
      <c r="B122" s="361"/>
      <c r="C122" s="362"/>
      <c r="D122" s="362"/>
      <c r="E122" s="362"/>
      <c r="F122" s="362"/>
      <c r="G122" s="362"/>
      <c r="H122" s="362"/>
      <c r="I122" s="362"/>
      <c r="J122" s="362"/>
      <c r="K122" s="362"/>
      <c r="L122" s="362"/>
      <c r="M122" s="363"/>
    </row>
    <row r="123" spans="2:16" ht="14.45" customHeight="1">
      <c r="B123" s="803" t="s">
        <v>368</v>
      </c>
      <c r="C123" s="804" t="s">
        <v>369</v>
      </c>
      <c r="D123" s="804" t="s">
        <v>392</v>
      </c>
      <c r="E123" s="804" t="s">
        <v>371</v>
      </c>
      <c r="F123" s="804" t="s">
        <v>393</v>
      </c>
      <c r="G123" s="804" t="s">
        <v>394</v>
      </c>
      <c r="H123" s="805" t="s">
        <v>377</v>
      </c>
      <c r="I123" s="359" t="s">
        <v>361</v>
      </c>
      <c r="J123" s="359" t="s">
        <v>362</v>
      </c>
      <c r="K123" s="359"/>
      <c r="L123" s="358" t="s">
        <v>363</v>
      </c>
      <c r="M123" s="100" t="s">
        <v>364</v>
      </c>
    </row>
    <row r="124" spans="2:16">
      <c r="B124" s="803"/>
      <c r="C124" s="804"/>
      <c r="D124" s="804"/>
      <c r="E124" s="804"/>
      <c r="F124" s="804"/>
      <c r="G124" s="804" t="s">
        <v>365</v>
      </c>
      <c r="H124" s="805"/>
      <c r="I124" s="359" t="s">
        <v>365</v>
      </c>
      <c r="J124" s="359" t="s">
        <v>366</v>
      </c>
      <c r="K124" s="359"/>
      <c r="L124" s="358" t="s">
        <v>367</v>
      </c>
      <c r="M124" s="100" t="s">
        <v>366</v>
      </c>
      <c r="O124" s="92"/>
    </row>
    <row r="125" spans="2:16">
      <c r="B125" s="803"/>
      <c r="C125" s="804"/>
      <c r="D125" s="804"/>
      <c r="E125" s="804"/>
      <c r="F125" s="804"/>
      <c r="G125" s="804" t="s">
        <v>373</v>
      </c>
      <c r="H125" s="358" t="s">
        <v>372</v>
      </c>
      <c r="I125" s="358" t="s">
        <v>373</v>
      </c>
      <c r="J125" s="358" t="s">
        <v>374</v>
      </c>
      <c r="K125" s="358" t="s">
        <v>375</v>
      </c>
      <c r="L125" s="358" t="s">
        <v>376</v>
      </c>
      <c r="M125" s="100" t="s">
        <v>375</v>
      </c>
      <c r="N125" s="92"/>
      <c r="P125" s="92"/>
    </row>
    <row r="126" spans="2:16" ht="6" customHeight="1" thickBot="1">
      <c r="B126" s="366"/>
      <c r="C126" s="358"/>
      <c r="D126" s="358"/>
      <c r="E126" s="358"/>
      <c r="F126" s="358"/>
      <c r="G126" s="358"/>
      <c r="H126" s="358"/>
      <c r="I126" s="358"/>
      <c r="J126" s="358"/>
      <c r="K126" s="358"/>
      <c r="L126" s="358"/>
      <c r="M126" s="100"/>
    </row>
    <row r="127" spans="2:16">
      <c r="B127" s="369" t="s">
        <v>378</v>
      </c>
      <c r="C127" s="370">
        <v>0.15</v>
      </c>
      <c r="D127" s="370">
        <f t="shared" ref="D127:G134" si="37">D110</f>
        <v>6</v>
      </c>
      <c r="E127" s="370">
        <f t="shared" si="37"/>
        <v>100</v>
      </c>
      <c r="F127" s="370">
        <f t="shared" si="37"/>
        <v>0.9</v>
      </c>
      <c r="G127" s="370">
        <f t="shared" si="37"/>
        <v>0.45</v>
      </c>
      <c r="H127" s="383">
        <f t="shared" ref="H127:H134" si="38">C127*((D127/12)^F127)*((E127/3)^G127)</f>
        <v>0.3894571651749334</v>
      </c>
      <c r="I127" s="373">
        <f t="shared" ref="I127:I134" si="39">I110</f>
        <v>2018.6407076074815</v>
      </c>
      <c r="J127" s="373">
        <f>H127*I127</f>
        <v>786.1740874915314</v>
      </c>
      <c r="K127" s="372">
        <f t="shared" ref="K127:K134" si="40">J127/2000</f>
        <v>0.3930870437457657</v>
      </c>
      <c r="L127" s="370">
        <f t="shared" ref="L127:L134" si="41">L110</f>
        <v>90</v>
      </c>
      <c r="M127" s="374">
        <f>K127*((100-L127)/100)</f>
        <v>3.9308704374576571E-2</v>
      </c>
    </row>
    <row r="128" spans="2:16">
      <c r="B128" s="188" t="s">
        <v>379</v>
      </c>
      <c r="C128" s="97">
        <v>0.15</v>
      </c>
      <c r="D128" s="97">
        <f t="shared" si="37"/>
        <v>6</v>
      </c>
      <c r="E128" s="97">
        <f t="shared" si="37"/>
        <v>75</v>
      </c>
      <c r="F128" s="97">
        <f t="shared" si="37"/>
        <v>0.9</v>
      </c>
      <c r="G128" s="97">
        <f t="shared" si="37"/>
        <v>0.45</v>
      </c>
      <c r="H128" s="384">
        <f t="shared" si="38"/>
        <v>0.34216632620830534</v>
      </c>
      <c r="I128" s="368">
        <f t="shared" si="39"/>
        <v>2018.6407076074815</v>
      </c>
      <c r="J128" s="368">
        <f t="shared" ref="J128:J134" si="42">H128*I128</f>
        <v>690.71087485658586</v>
      </c>
      <c r="K128" s="367">
        <f t="shared" si="40"/>
        <v>0.34535543742829294</v>
      </c>
      <c r="L128" s="97">
        <f t="shared" si="41"/>
        <v>90</v>
      </c>
      <c r="M128" s="375">
        <f t="shared" ref="M128:M134" si="43">K128*((100-L128)/100)</f>
        <v>3.4535543742829293E-2</v>
      </c>
    </row>
    <row r="129" spans="2:13">
      <c r="B129" s="188" t="s">
        <v>380</v>
      </c>
      <c r="C129" s="97">
        <v>0.15</v>
      </c>
      <c r="D129" s="97">
        <f t="shared" si="37"/>
        <v>6</v>
      </c>
      <c r="E129" s="97">
        <f t="shared" si="37"/>
        <v>70</v>
      </c>
      <c r="F129" s="97">
        <f t="shared" si="37"/>
        <v>0.9</v>
      </c>
      <c r="G129" s="97">
        <f t="shared" si="37"/>
        <v>0.45</v>
      </c>
      <c r="H129" s="384">
        <f t="shared" si="38"/>
        <v>0.33170637356424015</v>
      </c>
      <c r="I129" s="368">
        <f t="shared" si="39"/>
        <v>1009.3203538037408</v>
      </c>
      <c r="J129" s="368">
        <f t="shared" si="42"/>
        <v>334.79799432481468</v>
      </c>
      <c r="K129" s="367">
        <f t="shared" si="40"/>
        <v>0.16739899716240733</v>
      </c>
      <c r="L129" s="97">
        <f t="shared" si="41"/>
        <v>90</v>
      </c>
      <c r="M129" s="375">
        <f t="shared" si="43"/>
        <v>1.6739899716240732E-2</v>
      </c>
    </row>
    <row r="130" spans="2:13">
      <c r="B130" s="188" t="s">
        <v>378</v>
      </c>
      <c r="C130" s="97">
        <v>0.15</v>
      </c>
      <c r="D130" s="97">
        <f t="shared" si="37"/>
        <v>6</v>
      </c>
      <c r="E130" s="97">
        <f t="shared" si="37"/>
        <v>100</v>
      </c>
      <c r="F130" s="97">
        <f t="shared" si="37"/>
        <v>0.9</v>
      </c>
      <c r="G130" s="97">
        <f t="shared" si="37"/>
        <v>0.45</v>
      </c>
      <c r="H130" s="384">
        <f t="shared" si="38"/>
        <v>0.3894571651749334</v>
      </c>
      <c r="I130" s="368">
        <f t="shared" si="39"/>
        <v>13188.452623035546</v>
      </c>
      <c r="J130" s="368">
        <f t="shared" si="42"/>
        <v>5136.3373716113383</v>
      </c>
      <c r="K130" s="367">
        <f t="shared" si="40"/>
        <v>2.5681686858056691</v>
      </c>
      <c r="L130" s="97">
        <f t="shared" si="41"/>
        <v>90</v>
      </c>
      <c r="M130" s="375">
        <f t="shared" si="43"/>
        <v>0.2568168685805669</v>
      </c>
    </row>
    <row r="131" spans="2:13">
      <c r="B131" s="188" t="s">
        <v>379</v>
      </c>
      <c r="C131" s="97">
        <v>0.15</v>
      </c>
      <c r="D131" s="97">
        <f t="shared" si="37"/>
        <v>6</v>
      </c>
      <c r="E131" s="97">
        <f t="shared" si="37"/>
        <v>75</v>
      </c>
      <c r="F131" s="97">
        <f t="shared" si="37"/>
        <v>0.9</v>
      </c>
      <c r="G131" s="97">
        <f t="shared" si="37"/>
        <v>0.45</v>
      </c>
      <c r="H131" s="384">
        <f t="shared" si="38"/>
        <v>0.34216632620830534</v>
      </c>
      <c r="I131" s="368">
        <f t="shared" si="39"/>
        <v>13188.452623035546</v>
      </c>
      <c r="J131" s="368">
        <f t="shared" si="42"/>
        <v>4512.6443823963609</v>
      </c>
      <c r="K131" s="367">
        <f t="shared" si="40"/>
        <v>2.2563221911981803</v>
      </c>
      <c r="L131" s="97">
        <f t="shared" si="41"/>
        <v>90</v>
      </c>
      <c r="M131" s="375">
        <f>K131*((100-L131)/100)</f>
        <v>0.22563221911981804</v>
      </c>
    </row>
    <row r="132" spans="2:13">
      <c r="B132" s="188" t="s">
        <v>380</v>
      </c>
      <c r="C132" s="97">
        <v>0.15</v>
      </c>
      <c r="D132" s="97">
        <f t="shared" si="37"/>
        <v>6</v>
      </c>
      <c r="E132" s="97">
        <f t="shared" si="37"/>
        <v>70</v>
      </c>
      <c r="F132" s="97">
        <f t="shared" si="37"/>
        <v>0.9</v>
      </c>
      <c r="G132" s="97">
        <f t="shared" si="37"/>
        <v>0.45</v>
      </c>
      <c r="H132" s="384">
        <f t="shared" si="38"/>
        <v>0.33170637356424015</v>
      </c>
      <c r="I132" s="368">
        <f t="shared" si="39"/>
        <v>6594.226311517773</v>
      </c>
      <c r="J132" s="368">
        <f t="shared" si="42"/>
        <v>2187.3468962554557</v>
      </c>
      <c r="K132" s="367">
        <f t="shared" si="40"/>
        <v>1.0936734481277279</v>
      </c>
      <c r="L132" s="97">
        <f t="shared" si="41"/>
        <v>90</v>
      </c>
      <c r="M132" s="375">
        <f t="shared" si="43"/>
        <v>0.1093673448127728</v>
      </c>
    </row>
    <row r="133" spans="2:13">
      <c r="B133" s="188" t="s">
        <v>395</v>
      </c>
      <c r="C133" s="97">
        <v>0.15</v>
      </c>
      <c r="D133" s="97">
        <f t="shared" si="37"/>
        <v>6</v>
      </c>
      <c r="E133" s="97">
        <f t="shared" si="37"/>
        <v>60</v>
      </c>
      <c r="F133" s="97">
        <f t="shared" si="37"/>
        <v>0.9</v>
      </c>
      <c r="G133" s="97">
        <f t="shared" si="37"/>
        <v>0.45</v>
      </c>
      <c r="H133" s="384">
        <f t="shared" si="38"/>
        <v>0.30947656015211922</v>
      </c>
      <c r="I133" s="368">
        <f t="shared" si="39"/>
        <v>47748.616737638506</v>
      </c>
      <c r="J133" s="368">
        <f t="shared" si="42"/>
        <v>14777.077659986269</v>
      </c>
      <c r="K133" s="367">
        <f t="shared" si="40"/>
        <v>7.3885388299931343</v>
      </c>
      <c r="L133" s="97">
        <f t="shared" si="41"/>
        <v>90</v>
      </c>
      <c r="M133" s="375">
        <f t="shared" si="43"/>
        <v>0.73885388299931343</v>
      </c>
    </row>
    <row r="134" spans="2:13" ht="13.5" thickBot="1">
      <c r="B134" s="104" t="s">
        <v>396</v>
      </c>
      <c r="C134" s="128">
        <v>0.15</v>
      </c>
      <c r="D134" s="128">
        <f t="shared" si="37"/>
        <v>6</v>
      </c>
      <c r="E134" s="128">
        <f t="shared" si="37"/>
        <v>30</v>
      </c>
      <c r="F134" s="128">
        <f t="shared" si="37"/>
        <v>0.9</v>
      </c>
      <c r="G134" s="128">
        <f t="shared" si="37"/>
        <v>0.45</v>
      </c>
      <c r="H134" s="385">
        <f t="shared" si="38"/>
        <v>0.22655010247458685</v>
      </c>
      <c r="I134" s="378">
        <f t="shared" si="39"/>
        <v>47748.616737638506</v>
      </c>
      <c r="J134" s="378">
        <f t="shared" si="42"/>
        <v>10817.454014931776</v>
      </c>
      <c r="K134" s="377">
        <f t="shared" si="40"/>
        <v>5.4087270074658882</v>
      </c>
      <c r="L134" s="128">
        <f t="shared" si="41"/>
        <v>90</v>
      </c>
      <c r="M134" s="379">
        <f t="shared" si="43"/>
        <v>0.54087270074658889</v>
      </c>
    </row>
    <row r="135" spans="2:13">
      <c r="B135" s="114" t="s">
        <v>423</v>
      </c>
      <c r="I135" s="388">
        <f>SUM(I127:I134)</f>
        <v>133514.96680188458</v>
      </c>
      <c r="J135" s="388">
        <f>SUM(J127:J134)</f>
        <v>39242.54328185413</v>
      </c>
      <c r="K135" s="386">
        <f>SUM(K127:K134)</f>
        <v>19.621271640927066</v>
      </c>
      <c r="L135" s="358"/>
      <c r="M135" s="386">
        <f>SUM(M127:M134)</f>
        <v>1.9621271640927067</v>
      </c>
    </row>
    <row r="137" spans="2:13">
      <c r="B137" s="397" t="s">
        <v>125</v>
      </c>
    </row>
    <row r="138" spans="2:13">
      <c r="B138" s="355" t="s">
        <v>397</v>
      </c>
    </row>
    <row r="139" spans="2:13" ht="14.25">
      <c r="B139" s="355" t="s">
        <v>406</v>
      </c>
      <c r="C139" s="90" t="s">
        <v>398</v>
      </c>
    </row>
    <row r="140" spans="2:13">
      <c r="C140" s="355" t="s">
        <v>399</v>
      </c>
    </row>
    <row r="141" spans="2:13">
      <c r="C141" s="356" t="s">
        <v>400</v>
      </c>
    </row>
    <row r="142" spans="2:13" ht="14.25">
      <c r="C142" s="90" t="s">
        <v>407</v>
      </c>
    </row>
    <row r="143" spans="2:13">
      <c r="C143" s="90" t="s">
        <v>401</v>
      </c>
    </row>
    <row r="144" spans="2:13">
      <c r="B144" s="90" t="s">
        <v>402</v>
      </c>
    </row>
    <row r="145" spans="2:3" ht="14.25">
      <c r="B145" s="90" t="s">
        <v>408</v>
      </c>
      <c r="C145" s="90" t="s">
        <v>398</v>
      </c>
    </row>
    <row r="146" spans="2:3">
      <c r="C146" s="90" t="s">
        <v>403</v>
      </c>
    </row>
    <row r="147" spans="2:3">
      <c r="C147" s="90" t="s">
        <v>404</v>
      </c>
    </row>
    <row r="148" spans="2:3">
      <c r="C148" s="90" t="s">
        <v>405</v>
      </c>
    </row>
  </sheetData>
  <mergeCells count="42">
    <mergeCell ref="B17:M17"/>
    <mergeCell ref="B40:M40"/>
    <mergeCell ref="B20:B22"/>
    <mergeCell ref="C20:C22"/>
    <mergeCell ref="D20:D22"/>
    <mergeCell ref="E20:E22"/>
    <mergeCell ref="F20:F21"/>
    <mergeCell ref="B63:M63"/>
    <mergeCell ref="B43:B45"/>
    <mergeCell ref="C43:C45"/>
    <mergeCell ref="D43:D45"/>
    <mergeCell ref="E43:E45"/>
    <mergeCell ref="F43:F44"/>
    <mergeCell ref="B66:B68"/>
    <mergeCell ref="C66:C68"/>
    <mergeCell ref="D66:D68"/>
    <mergeCell ref="E66:E68"/>
    <mergeCell ref="F66:F67"/>
    <mergeCell ref="B86:M86"/>
    <mergeCell ref="B89:B91"/>
    <mergeCell ref="C89:C91"/>
    <mergeCell ref="D89:D91"/>
    <mergeCell ref="E89:E91"/>
    <mergeCell ref="F89:F91"/>
    <mergeCell ref="G89:G91"/>
    <mergeCell ref="H89:H90"/>
    <mergeCell ref="B103:M103"/>
    <mergeCell ref="B106:B108"/>
    <mergeCell ref="C106:C108"/>
    <mergeCell ref="D106:D108"/>
    <mergeCell ref="E106:E108"/>
    <mergeCell ref="F106:F108"/>
    <mergeCell ref="G106:G108"/>
    <mergeCell ref="H106:H107"/>
    <mergeCell ref="B120:M120"/>
    <mergeCell ref="B123:B125"/>
    <mergeCell ref="C123:C125"/>
    <mergeCell ref="D123:D125"/>
    <mergeCell ref="E123:E125"/>
    <mergeCell ref="F123:F125"/>
    <mergeCell ref="G123:G125"/>
    <mergeCell ref="H123:H124"/>
  </mergeCells>
  <pageMargins left="0.2" right="0.2" top="0.5" bottom="0.5" header="0.05" footer="0.05"/>
  <pageSetup scale="72" fitToHeight="3" orientation="landscape" horizontalDpi="1200" verticalDpi="1200" r:id="rId1"/>
  <rowBreaks count="2" manualBreakCount="2">
    <brk id="62" max="12" man="1"/>
    <brk id="119" max="12"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B9216-881B-4889-A65A-6D101D58631B}">
  <dimension ref="B1:R88"/>
  <sheetViews>
    <sheetView tabSelected="1" zoomScale="130" zoomScaleNormal="130" zoomScaleSheetLayoutView="100" workbookViewId="0">
      <selection activeCell="N32" sqref="N32"/>
    </sheetView>
  </sheetViews>
  <sheetFormatPr defaultColWidth="9.140625" defaultRowHeight="12.75"/>
  <cols>
    <col min="1" max="1" width="2.42578125" style="90" customWidth="1"/>
    <col min="2" max="2" width="28.85546875" style="90" customWidth="1"/>
    <col min="3" max="13" width="12.5703125" style="90" customWidth="1"/>
    <col min="14" max="16384" width="9.140625" style="90"/>
  </cols>
  <sheetData>
    <row r="1" spans="2:13" s="1" customFormat="1" ht="11.25" customHeight="1"/>
    <row r="2" spans="2:13" s="6" customFormat="1">
      <c r="B2" s="5" t="str">
        <f>'Key Inputs'!B2</f>
        <v>Company Name:</v>
      </c>
      <c r="C2" s="279" t="str">
        <f>'Key Inputs'!C2</f>
        <v>U. S. Steel Corp.</v>
      </c>
      <c r="F2" s="5"/>
    </row>
    <row r="3" spans="2:13" s="6" customFormat="1">
      <c r="B3" s="5" t="str">
        <f>'Key Inputs'!B3</f>
        <v>Site Name:</v>
      </c>
      <c r="C3" s="279" t="str">
        <f>'Key Inputs'!C3</f>
        <v>Edgar Thomson Plant</v>
      </c>
      <c r="F3" s="5"/>
    </row>
    <row r="4" spans="2:13" s="6" customFormat="1">
      <c r="B4" s="5" t="str">
        <f>'Key Inputs'!B4</f>
        <v>Description:</v>
      </c>
      <c r="C4" s="279" t="str">
        <f>'Key Inputs'!C4</f>
        <v>Title V Permit Renewal</v>
      </c>
      <c r="F4" s="5"/>
    </row>
    <row r="5" spans="2:13" s="6" customFormat="1">
      <c r="B5" s="5" t="str">
        <f>'Key Inputs'!B5</f>
        <v>Date:</v>
      </c>
      <c r="C5" s="281" t="str">
        <f>'Key Inputs'!C5</f>
        <v>10/7/2020 - DRAFT</v>
      </c>
      <c r="F5" s="5"/>
    </row>
    <row r="6" spans="2:13" s="6" customFormat="1">
      <c r="B6" s="5"/>
      <c r="C6" s="183"/>
      <c r="D6" s="5"/>
      <c r="F6" s="5"/>
    </row>
    <row r="7" spans="2:13" s="11" customFormat="1">
      <c r="B7" s="10" t="s">
        <v>476</v>
      </c>
      <c r="C7" s="10"/>
      <c r="D7" s="10"/>
      <c r="F7" s="10"/>
    </row>
    <row r="8" spans="2:13" s="16" customFormat="1">
      <c r="B8" s="14"/>
      <c r="C8" s="15"/>
    </row>
    <row r="9" spans="2:13" s="18" customFormat="1">
      <c r="B9" s="20" t="s">
        <v>25</v>
      </c>
      <c r="C9" s="20" t="s">
        <v>477</v>
      </c>
      <c r="D9" s="20"/>
      <c r="E9" s="21"/>
    </row>
    <row r="10" spans="2:13" s="18" customFormat="1">
      <c r="B10" s="20" t="s">
        <v>56</v>
      </c>
      <c r="C10" s="23" t="s">
        <v>182</v>
      </c>
      <c r="D10" s="20"/>
      <c r="E10" s="21"/>
    </row>
    <row r="11" spans="2:13" s="18" customFormat="1">
      <c r="B11" s="20" t="s">
        <v>291</v>
      </c>
      <c r="C11" s="23" t="s">
        <v>16</v>
      </c>
      <c r="D11" s="20"/>
      <c r="E11" s="21"/>
    </row>
    <row r="12" spans="2:13" s="18" customFormat="1">
      <c r="B12" s="20" t="s">
        <v>26</v>
      </c>
      <c r="C12" s="24">
        <f>'Key Inputs'!$G$22</f>
        <v>8760</v>
      </c>
      <c r="D12" s="21" t="s">
        <v>10</v>
      </c>
      <c r="E12" s="21"/>
      <c r="G12" s="87"/>
    </row>
    <row r="13" spans="2:13" s="18" customFormat="1">
      <c r="B13" s="186"/>
      <c r="C13" s="169"/>
      <c r="D13" s="168"/>
      <c r="G13" s="87"/>
    </row>
    <row r="14" spans="2:13" s="11" customFormat="1">
      <c r="B14" s="802"/>
      <c r="C14" s="802"/>
      <c r="D14" s="802"/>
      <c r="E14" s="802"/>
      <c r="F14" s="802"/>
      <c r="G14" s="802"/>
      <c r="H14" s="802"/>
      <c r="I14" s="802"/>
      <c r="J14" s="802"/>
      <c r="K14" s="802"/>
      <c r="L14" s="802"/>
      <c r="M14" s="802"/>
    </row>
    <row r="15" spans="2:13" ht="13.5" thickBot="1">
      <c r="B15" s="442"/>
      <c r="C15" s="93"/>
      <c r="D15" s="93"/>
      <c r="E15" s="93"/>
      <c r="F15" s="93"/>
      <c r="G15" s="93"/>
      <c r="H15" s="93"/>
      <c r="I15" s="93"/>
      <c r="J15" s="93"/>
      <c r="K15" s="93"/>
    </row>
    <row r="16" spans="2:13" ht="6" customHeight="1">
      <c r="B16" s="361"/>
      <c r="C16" s="440"/>
      <c r="D16" s="362"/>
      <c r="E16" s="362"/>
      <c r="F16" s="362"/>
      <c r="G16" s="362"/>
      <c r="H16" s="362"/>
      <c r="I16" s="362"/>
      <c r="J16" s="362"/>
      <c r="K16" s="362"/>
      <c r="L16" s="362"/>
      <c r="M16" s="363"/>
    </row>
    <row r="17" spans="2:18" ht="14.45" customHeight="1">
      <c r="B17" s="803" t="s">
        <v>478</v>
      </c>
      <c r="C17" s="804" t="s">
        <v>479</v>
      </c>
      <c r="D17" s="804"/>
      <c r="E17" s="804"/>
      <c r="F17" s="396" t="s">
        <v>482</v>
      </c>
      <c r="G17" s="809" t="s">
        <v>484</v>
      </c>
      <c r="H17" s="804" t="s">
        <v>64</v>
      </c>
      <c r="I17" s="804"/>
      <c r="J17" s="804" t="s">
        <v>495</v>
      </c>
      <c r="K17" s="804"/>
      <c r="L17" s="804" t="s">
        <v>496</v>
      </c>
      <c r="M17" s="810"/>
    </row>
    <row r="18" spans="2:18">
      <c r="B18" s="803"/>
      <c r="C18" s="804"/>
      <c r="D18" s="804"/>
      <c r="E18" s="804"/>
      <c r="F18" s="396" t="s">
        <v>483</v>
      </c>
      <c r="G18" s="809"/>
      <c r="H18" s="804"/>
      <c r="I18" s="804"/>
      <c r="J18" s="804"/>
      <c r="K18" s="804"/>
      <c r="L18" s="804"/>
      <c r="M18" s="810"/>
      <c r="O18" s="92"/>
      <c r="Q18" s="92"/>
    </row>
    <row r="19" spans="2:18">
      <c r="B19" s="803"/>
      <c r="C19" s="396" t="s">
        <v>493</v>
      </c>
      <c r="D19" s="396" t="s">
        <v>480</v>
      </c>
      <c r="E19" s="396" t="s">
        <v>481</v>
      </c>
      <c r="F19" s="396" t="s">
        <v>376</v>
      </c>
      <c r="G19" s="358" t="s">
        <v>485</v>
      </c>
      <c r="H19" s="358" t="s">
        <v>481</v>
      </c>
      <c r="I19" s="358" t="s">
        <v>494</v>
      </c>
      <c r="J19" s="358" t="s">
        <v>481</v>
      </c>
      <c r="K19" s="358" t="s">
        <v>494</v>
      </c>
      <c r="L19" s="358" t="s">
        <v>481</v>
      </c>
      <c r="M19" s="100" t="s">
        <v>494</v>
      </c>
    </row>
    <row r="20" spans="2:18" ht="6" customHeight="1" thickBot="1">
      <c r="B20" s="364"/>
      <c r="C20" s="441"/>
      <c r="D20" s="365"/>
      <c r="E20" s="365"/>
      <c r="F20" s="365"/>
      <c r="G20" s="365"/>
      <c r="H20" s="365"/>
      <c r="I20" s="365"/>
      <c r="J20" s="365"/>
      <c r="K20" s="365"/>
      <c r="L20" s="365"/>
      <c r="M20" s="105"/>
    </row>
    <row r="21" spans="2:18">
      <c r="B21" s="369" t="s">
        <v>486</v>
      </c>
      <c r="C21" s="373">
        <v>4100</v>
      </c>
      <c r="D21" s="373">
        <f>C21*60</f>
        <v>246000</v>
      </c>
      <c r="E21" s="373">
        <f>D21*8.34</f>
        <v>2051640</v>
      </c>
      <c r="F21" s="370">
        <v>0.02</v>
      </c>
      <c r="G21" s="373">
        <v>1200</v>
      </c>
      <c r="H21" s="372">
        <f>E21*F21*G21%/1000000</f>
        <v>0.49239360000000004</v>
      </c>
      <c r="I21" s="372">
        <f>H21*$C$12/2000</f>
        <v>2.1566839680000003</v>
      </c>
      <c r="J21" s="371">
        <f>H21*$D$82%</f>
        <v>0.39265576861967361</v>
      </c>
      <c r="K21" s="371">
        <f>I21*$D$82%</f>
        <v>1.7198322665541703</v>
      </c>
      <c r="L21" s="371">
        <f>H21*$B$82%</f>
        <v>1.1975527171469351E-3</v>
      </c>
      <c r="M21" s="374">
        <f>I21*$B$82%</f>
        <v>5.245280901103576E-3</v>
      </c>
      <c r="O21" s="382"/>
      <c r="Q21" s="381"/>
      <c r="R21" s="92"/>
    </row>
    <row r="22" spans="2:18">
      <c r="B22" s="188" t="s">
        <v>487</v>
      </c>
      <c r="C22" s="368">
        <v>14316</v>
      </c>
      <c r="D22" s="368">
        <f t="shared" ref="D22:D27" si="0">C22*60</f>
        <v>858960</v>
      </c>
      <c r="E22" s="368">
        <f t="shared" ref="E22:E27" si="1">D22*8.34</f>
        <v>7163726.3999999994</v>
      </c>
      <c r="F22" s="97">
        <v>5.0000000000000001E-3</v>
      </c>
      <c r="G22" s="368">
        <v>1200</v>
      </c>
      <c r="H22" s="367">
        <f t="shared" ref="H22:H27" si="2">E22*F22*G22%/1000000</f>
        <v>0.42982358399999998</v>
      </c>
      <c r="I22" s="367">
        <f t="shared" ref="I22:I27" si="3">H22*$C$12/2000</f>
        <v>1.8826272979199998</v>
      </c>
      <c r="J22" s="96">
        <f t="shared" ref="J22:J27" si="4">H22*$D$82%</f>
        <v>0.342759755095076</v>
      </c>
      <c r="K22" s="96">
        <f t="shared" ref="K22:K27" si="5">I22*$D$82%</f>
        <v>1.5012877273164327</v>
      </c>
      <c r="L22" s="96">
        <f t="shared" ref="L22:L27" si="6">H22*$B$82%</f>
        <v>1.0453758962607025E-3</v>
      </c>
      <c r="M22" s="375">
        <f t="shared" ref="M22:M27" si="7">I22*$B$82%</f>
        <v>4.578746425621877E-3</v>
      </c>
      <c r="O22" s="382"/>
    </row>
    <row r="23" spans="2:18">
      <c r="B23" s="188" t="s">
        <v>488</v>
      </c>
      <c r="C23" s="368">
        <v>7000</v>
      </c>
      <c r="D23" s="368">
        <f t="shared" si="0"/>
        <v>420000</v>
      </c>
      <c r="E23" s="368">
        <f t="shared" si="1"/>
        <v>3502800</v>
      </c>
      <c r="F23" s="97">
        <v>5.0000000000000001E-3</v>
      </c>
      <c r="G23" s="368">
        <v>1200</v>
      </c>
      <c r="H23" s="367">
        <f t="shared" si="2"/>
        <v>0.21016799999999999</v>
      </c>
      <c r="I23" s="367">
        <f t="shared" si="3"/>
        <v>0.92053583999999999</v>
      </c>
      <c r="J23" s="96">
        <f t="shared" si="4"/>
        <v>0.16759697441083626</v>
      </c>
      <c r="K23" s="96">
        <f t="shared" si="5"/>
        <v>0.73407474791946281</v>
      </c>
      <c r="L23" s="96">
        <f t="shared" si="6"/>
        <v>5.1115055000174059E-4</v>
      </c>
      <c r="M23" s="375">
        <f t="shared" si="7"/>
        <v>2.2388394090076236E-3</v>
      </c>
      <c r="O23" s="382"/>
    </row>
    <row r="24" spans="2:18">
      <c r="B24" s="188" t="s">
        <v>489</v>
      </c>
      <c r="C24" s="368">
        <v>5250</v>
      </c>
      <c r="D24" s="368">
        <f t="shared" si="0"/>
        <v>315000</v>
      </c>
      <c r="E24" s="368">
        <f t="shared" si="1"/>
        <v>2627100</v>
      </c>
      <c r="F24" s="97">
        <v>5.0000000000000001E-3</v>
      </c>
      <c r="G24" s="368">
        <v>1200</v>
      </c>
      <c r="H24" s="367">
        <f t="shared" si="2"/>
        <v>0.15762599999999999</v>
      </c>
      <c r="I24" s="367">
        <f t="shared" si="3"/>
        <v>0.69040188000000002</v>
      </c>
      <c r="J24" s="96">
        <f t="shared" si="4"/>
        <v>0.12569773080812718</v>
      </c>
      <c r="K24" s="96">
        <f t="shared" si="5"/>
        <v>0.55055606093959719</v>
      </c>
      <c r="L24" s="96">
        <f t="shared" si="6"/>
        <v>3.8336291250130536E-4</v>
      </c>
      <c r="M24" s="375">
        <f t="shared" si="7"/>
        <v>1.6791295567557178E-3</v>
      </c>
      <c r="O24" s="382"/>
    </row>
    <row r="25" spans="2:18">
      <c r="B25" s="188" t="s">
        <v>490</v>
      </c>
      <c r="C25" s="368">
        <v>12000</v>
      </c>
      <c r="D25" s="368">
        <f t="shared" si="0"/>
        <v>720000</v>
      </c>
      <c r="E25" s="368">
        <f t="shared" si="1"/>
        <v>6004800</v>
      </c>
      <c r="F25" s="97">
        <v>1E-3</v>
      </c>
      <c r="G25" s="368">
        <v>1200</v>
      </c>
      <c r="H25" s="367">
        <f t="shared" si="2"/>
        <v>7.2057599999999999E-2</v>
      </c>
      <c r="I25" s="367">
        <f t="shared" si="3"/>
        <v>0.31561228799999996</v>
      </c>
      <c r="J25" s="96">
        <f t="shared" si="4"/>
        <v>5.746181979800101E-2</v>
      </c>
      <c r="K25" s="96">
        <f t="shared" si="5"/>
        <v>0.25168277071524436</v>
      </c>
      <c r="L25" s="96">
        <f t="shared" si="6"/>
        <v>1.752516171434539E-4</v>
      </c>
      <c r="M25" s="375">
        <f t="shared" si="7"/>
        <v>7.6760208308832803E-4</v>
      </c>
      <c r="O25" s="382"/>
    </row>
    <row r="26" spans="2:18">
      <c r="B26" s="188" t="s">
        <v>491</v>
      </c>
      <c r="C26" s="368">
        <v>12000</v>
      </c>
      <c r="D26" s="368">
        <f t="shared" si="0"/>
        <v>720000</v>
      </c>
      <c r="E26" s="368">
        <f t="shared" si="1"/>
        <v>6004800</v>
      </c>
      <c r="F26" s="97">
        <v>0.02</v>
      </c>
      <c r="G26" s="368">
        <v>1200</v>
      </c>
      <c r="H26" s="367">
        <f t="shared" si="2"/>
        <v>1.441152</v>
      </c>
      <c r="I26" s="367">
        <f t="shared" si="3"/>
        <v>6.3122457599999997</v>
      </c>
      <c r="J26" s="96">
        <f t="shared" si="4"/>
        <v>1.14923639596002</v>
      </c>
      <c r="K26" s="96">
        <f t="shared" si="5"/>
        <v>5.0336554143048877</v>
      </c>
      <c r="L26" s="96">
        <f t="shared" si="6"/>
        <v>3.5050323428690781E-3</v>
      </c>
      <c r="M26" s="375">
        <f t="shared" si="7"/>
        <v>1.535204166176656E-2</v>
      </c>
      <c r="O26" s="382"/>
    </row>
    <row r="27" spans="2:18" ht="13.5" thickBot="1">
      <c r="B27" s="104" t="s">
        <v>492</v>
      </c>
      <c r="C27" s="378">
        <v>15000</v>
      </c>
      <c r="D27" s="378">
        <f t="shared" si="0"/>
        <v>900000</v>
      </c>
      <c r="E27" s="378">
        <f t="shared" si="1"/>
        <v>7506000</v>
      </c>
      <c r="F27" s="128">
        <v>0.02</v>
      </c>
      <c r="G27" s="378">
        <v>5000</v>
      </c>
      <c r="H27" s="377">
        <f t="shared" si="2"/>
        <v>7.5060000000000002</v>
      </c>
      <c r="I27" s="377">
        <f t="shared" si="3"/>
        <v>32.876280000000001</v>
      </c>
      <c r="J27" s="376">
        <f t="shared" si="4"/>
        <v>5.9856062289584386</v>
      </c>
      <c r="K27" s="376">
        <f t="shared" si="5"/>
        <v>26.216955282837962</v>
      </c>
      <c r="L27" s="376">
        <f t="shared" si="6"/>
        <v>1.8255376785776448E-2</v>
      </c>
      <c r="M27" s="379">
        <f t="shared" si="7"/>
        <v>7.995855032170085E-2</v>
      </c>
      <c r="O27" s="382"/>
    </row>
    <row r="28" spans="2:18" s="114" customFormat="1">
      <c r="B28" s="360" t="s">
        <v>497</v>
      </c>
      <c r="C28" s="388">
        <f>SUM(C21:C27)</f>
        <v>69666</v>
      </c>
      <c r="D28" s="388">
        <f t="shared" ref="D28:E28" si="8">SUM(D21:D27)</f>
        <v>4179960</v>
      </c>
      <c r="E28" s="388">
        <f t="shared" si="8"/>
        <v>34860866.399999999</v>
      </c>
      <c r="F28" s="388"/>
      <c r="G28" s="388"/>
      <c r="H28" s="386">
        <f>SUM(H21:H27)</f>
        <v>10.309220784000001</v>
      </c>
      <c r="I28" s="386">
        <f t="shared" ref="I28:M28" si="9">SUM(I21:I27)</f>
        <v>45.154387033920003</v>
      </c>
      <c r="J28" s="386">
        <f t="shared" si="9"/>
        <v>8.2210146736501724</v>
      </c>
      <c r="K28" s="386">
        <f t="shared" si="9"/>
        <v>36.00804427058776</v>
      </c>
      <c r="L28" s="386">
        <f t="shared" si="9"/>
        <v>2.5073102821699663E-2</v>
      </c>
      <c r="M28" s="386">
        <f t="shared" si="9"/>
        <v>0.10982019035904453</v>
      </c>
    </row>
    <row r="29" spans="2:18">
      <c r="G29" s="357"/>
    </row>
    <row r="30" spans="2:18" s="443" customFormat="1" ht="15" customHeight="1">
      <c r="B30" s="453" t="s">
        <v>498</v>
      </c>
      <c r="C30" s="454"/>
      <c r="D30" s="455"/>
      <c r="E30" s="455"/>
      <c r="F30" s="455"/>
      <c r="G30" s="455"/>
      <c r="H30" s="455"/>
      <c r="I30" s="455"/>
      <c r="J30" s="455"/>
      <c r="K30" s="455"/>
      <c r="L30" s="455"/>
      <c r="M30" s="455"/>
      <c r="N30" s="444"/>
    </row>
    <row r="31" spans="2:18" s="445" customFormat="1" ht="6" customHeight="1">
      <c r="B31" s="456"/>
      <c r="C31" s="456"/>
      <c r="D31" s="456"/>
      <c r="E31" s="457"/>
      <c r="F31" s="457"/>
      <c r="G31" s="458"/>
      <c r="H31" s="458"/>
      <c r="I31" s="457"/>
      <c r="J31" s="457"/>
      <c r="K31" s="457"/>
      <c r="L31" s="459"/>
      <c r="M31" s="459"/>
      <c r="N31" s="446"/>
      <c r="O31" s="446"/>
    </row>
    <row r="32" spans="2:18" s="445" customFormat="1" ht="31.5" customHeight="1">
      <c r="B32" s="806" t="s">
        <v>499</v>
      </c>
      <c r="C32" s="806"/>
      <c r="D32" s="806"/>
      <c r="E32" s="806"/>
      <c r="F32" s="806"/>
      <c r="G32" s="806"/>
      <c r="H32" s="806"/>
      <c r="I32" s="460"/>
      <c r="J32" s="460"/>
      <c r="K32" s="460"/>
      <c r="L32" s="460"/>
      <c r="M32" s="460"/>
      <c r="N32" s="447"/>
      <c r="O32" s="447"/>
    </row>
    <row r="33" spans="2:15" s="445" customFormat="1" ht="15" customHeight="1">
      <c r="B33" s="461" t="s">
        <v>518</v>
      </c>
      <c r="C33" s="462"/>
      <c r="D33" s="462"/>
      <c r="E33" s="463"/>
      <c r="F33" s="463"/>
      <c r="G33" s="463" t="s">
        <v>500</v>
      </c>
      <c r="H33" s="463"/>
      <c r="I33" s="460"/>
      <c r="J33" s="460"/>
      <c r="K33" s="460"/>
      <c r="L33" s="460"/>
      <c r="M33" s="460"/>
      <c r="N33" s="447"/>
      <c r="O33" s="447"/>
    </row>
    <row r="34" spans="2:15" s="445" customFormat="1" ht="3.95" customHeight="1">
      <c r="B34" s="461"/>
      <c r="C34" s="462"/>
      <c r="D34" s="462"/>
      <c r="E34" s="463"/>
      <c r="F34" s="463"/>
      <c r="G34" s="463"/>
      <c r="H34" s="463"/>
      <c r="I34" s="460"/>
      <c r="J34" s="460"/>
      <c r="K34" s="460"/>
      <c r="L34" s="460"/>
      <c r="M34" s="460"/>
      <c r="N34" s="447"/>
      <c r="O34" s="447"/>
    </row>
    <row r="35" spans="2:15" s="445" customFormat="1" ht="15" customHeight="1">
      <c r="B35" s="461" t="s">
        <v>519</v>
      </c>
      <c r="C35" s="462"/>
      <c r="D35" s="462"/>
      <c r="E35" s="463"/>
      <c r="F35" s="463"/>
      <c r="G35" s="463" t="s">
        <v>501</v>
      </c>
      <c r="H35" s="463"/>
      <c r="I35" s="460"/>
      <c r="J35" s="464"/>
      <c r="K35" s="460"/>
      <c r="L35" s="460"/>
      <c r="M35" s="460"/>
      <c r="N35" s="447"/>
      <c r="O35" s="447"/>
    </row>
    <row r="36" spans="2:15" s="445" customFormat="1" ht="3.95" customHeight="1">
      <c r="B36" s="461"/>
      <c r="C36" s="462"/>
      <c r="D36" s="462"/>
      <c r="E36" s="463"/>
      <c r="F36" s="463"/>
      <c r="G36" s="463"/>
      <c r="H36" s="463"/>
      <c r="I36" s="460"/>
      <c r="J36" s="460"/>
      <c r="K36" s="460"/>
      <c r="L36" s="460"/>
      <c r="M36" s="460"/>
      <c r="N36" s="447"/>
      <c r="O36" s="447"/>
    </row>
    <row r="37" spans="2:15" s="445" customFormat="1" ht="15" customHeight="1">
      <c r="B37" s="461" t="s">
        <v>520</v>
      </c>
      <c r="C37" s="462"/>
      <c r="D37" s="462"/>
      <c r="E37" s="463"/>
      <c r="F37" s="463"/>
      <c r="G37" s="463" t="s">
        <v>502</v>
      </c>
      <c r="H37" s="463"/>
      <c r="I37" s="460"/>
      <c r="J37" s="460"/>
      <c r="K37" s="460"/>
      <c r="L37" s="460"/>
      <c r="M37" s="460"/>
      <c r="N37" s="447"/>
      <c r="O37" s="447"/>
    </row>
    <row r="38" spans="2:15" s="445" customFormat="1" ht="3.95" customHeight="1">
      <c r="B38" s="461"/>
      <c r="C38" s="462"/>
      <c r="D38" s="462"/>
      <c r="E38" s="463"/>
      <c r="F38" s="463"/>
      <c r="G38" s="463"/>
      <c r="H38" s="463"/>
      <c r="I38" s="460"/>
      <c r="J38" s="460"/>
      <c r="K38" s="460"/>
      <c r="L38" s="460"/>
      <c r="M38" s="460"/>
      <c r="N38" s="447"/>
      <c r="O38" s="447"/>
    </row>
    <row r="39" spans="2:15" s="447" customFormat="1" ht="15" customHeight="1">
      <c r="B39" s="461" t="s">
        <v>521</v>
      </c>
      <c r="C39" s="461"/>
      <c r="D39" s="463"/>
      <c r="E39" s="463"/>
      <c r="F39" s="457"/>
      <c r="G39" s="463" t="s">
        <v>503</v>
      </c>
      <c r="H39" s="458"/>
      <c r="I39" s="465"/>
      <c r="J39" s="465"/>
      <c r="K39" s="465"/>
      <c r="L39" s="466"/>
      <c r="M39" s="466"/>
      <c r="N39" s="449"/>
      <c r="O39" s="449"/>
    </row>
    <row r="40" spans="2:15" s="445" customFormat="1" ht="3.95" customHeight="1">
      <c r="B40" s="461"/>
      <c r="C40" s="462"/>
      <c r="D40" s="462"/>
      <c r="E40" s="463"/>
      <c r="F40" s="463"/>
      <c r="G40" s="463"/>
      <c r="H40" s="463"/>
      <c r="I40" s="460"/>
      <c r="J40" s="460"/>
      <c r="K40" s="460"/>
      <c r="L40" s="460"/>
      <c r="M40" s="460"/>
      <c r="N40" s="447"/>
      <c r="O40" s="447"/>
    </row>
    <row r="41" spans="2:15" s="447" customFormat="1" ht="15" customHeight="1">
      <c r="B41" s="467" t="s">
        <v>504</v>
      </c>
      <c r="C41" s="467"/>
      <c r="D41" s="453"/>
      <c r="E41" s="463"/>
      <c r="F41" s="457"/>
      <c r="G41" s="458"/>
      <c r="H41" s="458"/>
      <c r="I41" s="465"/>
      <c r="J41" s="465"/>
      <c r="K41" s="465"/>
      <c r="L41" s="466"/>
      <c r="M41" s="466"/>
      <c r="N41" s="449"/>
      <c r="O41" s="449"/>
    </row>
    <row r="42" spans="2:15" s="447" customFormat="1" ht="15" hidden="1" customHeight="1">
      <c r="B42" s="468" t="s">
        <v>522</v>
      </c>
      <c r="C42" s="467"/>
      <c r="D42" s="453"/>
      <c r="E42" s="468" t="s">
        <v>505</v>
      </c>
      <c r="F42" s="457"/>
      <c r="G42" s="458"/>
      <c r="H42" s="458"/>
      <c r="I42" s="465"/>
      <c r="J42" s="465"/>
      <c r="K42" s="465"/>
      <c r="L42" s="466"/>
      <c r="M42" s="466"/>
      <c r="N42" s="449"/>
      <c r="O42" s="449"/>
    </row>
    <row r="43" spans="2:15" s="447" customFormat="1" ht="15" customHeight="1">
      <c r="B43" s="468" t="s">
        <v>523</v>
      </c>
      <c r="C43" s="467"/>
      <c r="D43" s="453"/>
      <c r="E43" s="468" t="s">
        <v>524</v>
      </c>
      <c r="F43" s="457"/>
      <c r="G43" s="458"/>
      <c r="H43" s="458"/>
      <c r="I43" s="465"/>
      <c r="J43" s="465"/>
      <c r="K43" s="465"/>
      <c r="L43" s="466"/>
      <c r="M43" s="466"/>
      <c r="N43" s="449"/>
      <c r="O43" s="449"/>
    </row>
    <row r="44" spans="2:15" s="447" customFormat="1" ht="15" customHeight="1">
      <c r="B44" s="460"/>
      <c r="C44" s="467"/>
      <c r="D44" s="453"/>
      <c r="E44" s="468" t="s">
        <v>525</v>
      </c>
      <c r="F44" s="457"/>
      <c r="G44" s="458"/>
      <c r="H44" s="458"/>
      <c r="I44" s="465"/>
      <c r="J44" s="465"/>
      <c r="K44" s="465"/>
      <c r="L44" s="466"/>
      <c r="M44" s="466"/>
      <c r="N44" s="449"/>
      <c r="O44" s="449"/>
    </row>
    <row r="45" spans="2:15" s="450" customFormat="1" ht="15" customHeight="1">
      <c r="B45" s="469"/>
      <c r="C45" s="469"/>
      <c r="D45" s="469"/>
      <c r="E45" s="469"/>
      <c r="F45" s="469"/>
      <c r="G45" s="469"/>
      <c r="H45" s="469"/>
      <c r="I45" s="469"/>
      <c r="J45" s="469"/>
      <c r="K45" s="469"/>
      <c r="L45" s="469"/>
      <c r="M45" s="469"/>
    </row>
    <row r="46" spans="2:15" s="450" customFormat="1" ht="15" customHeight="1">
      <c r="B46" s="807" t="s">
        <v>506</v>
      </c>
      <c r="C46" s="807"/>
      <c r="D46" s="807"/>
      <c r="E46" s="807"/>
      <c r="F46" s="807"/>
      <c r="G46" s="807"/>
      <c r="H46" s="470"/>
      <c r="I46" s="469"/>
      <c r="J46" s="469"/>
      <c r="K46" s="469"/>
      <c r="L46" s="469"/>
      <c r="M46" s="469"/>
    </row>
    <row r="47" spans="2:15" s="450" customFormat="1" ht="6" customHeight="1">
      <c r="B47" s="469"/>
      <c r="C47" s="469"/>
      <c r="D47" s="469"/>
      <c r="E47" s="469"/>
      <c r="F47" s="469"/>
      <c r="G47" s="469"/>
      <c r="H47" s="469"/>
      <c r="I47" s="469"/>
      <c r="J47" s="469"/>
      <c r="K47" s="469"/>
      <c r="L47" s="469"/>
      <c r="M47" s="469"/>
    </row>
    <row r="48" spans="2:15" s="450" customFormat="1">
      <c r="B48" s="471" t="s">
        <v>507</v>
      </c>
      <c r="C48" s="472" t="s">
        <v>508</v>
      </c>
      <c r="D48" s="472" t="s">
        <v>509</v>
      </c>
      <c r="E48" s="473" t="s">
        <v>510</v>
      </c>
      <c r="F48" s="472" t="s">
        <v>510</v>
      </c>
      <c r="G48" s="474"/>
      <c r="H48" s="469"/>
      <c r="I48" s="469"/>
      <c r="J48" s="469"/>
      <c r="K48" s="469"/>
      <c r="L48" s="469"/>
      <c r="M48" s="469"/>
    </row>
    <row r="49" spans="2:13" s="450" customFormat="1" ht="14.25">
      <c r="B49" s="475" t="s">
        <v>537</v>
      </c>
      <c r="C49" s="476" t="s">
        <v>538</v>
      </c>
      <c r="D49" s="476" t="s">
        <v>539</v>
      </c>
      <c r="E49" s="477" t="s">
        <v>540</v>
      </c>
      <c r="F49" s="476" t="s">
        <v>541</v>
      </c>
      <c r="G49" s="478" t="s">
        <v>511</v>
      </c>
      <c r="H49" s="469"/>
      <c r="I49" s="469"/>
      <c r="J49" s="469"/>
      <c r="K49" s="469"/>
      <c r="L49" s="469"/>
      <c r="M49" s="469"/>
    </row>
    <row r="50" spans="2:13" s="450" customFormat="1" ht="14.25">
      <c r="B50" s="479" t="s">
        <v>512</v>
      </c>
      <c r="C50" s="480" t="s">
        <v>526</v>
      </c>
      <c r="D50" s="480" t="s">
        <v>513</v>
      </c>
      <c r="E50" s="481" t="s">
        <v>526</v>
      </c>
      <c r="F50" s="480" t="s">
        <v>514</v>
      </c>
      <c r="G50" s="482" t="s">
        <v>542</v>
      </c>
      <c r="H50" s="469"/>
      <c r="I50" s="469"/>
      <c r="J50" s="469"/>
      <c r="K50" s="469"/>
      <c r="L50" s="469"/>
      <c r="M50" s="469"/>
    </row>
    <row r="51" spans="2:13" s="450" customFormat="1">
      <c r="B51" s="483">
        <v>10</v>
      </c>
      <c r="C51" s="484">
        <f>(4/3)*PI()*(B51/2)^3</f>
        <v>523.59877559829886</v>
      </c>
      <c r="D51" s="485">
        <f>$G$21*1*C51/1000000000000</f>
        <v>6.2831853071795854E-7</v>
      </c>
      <c r="E51" s="486">
        <f>D51*1000000/2.2</f>
        <v>0.2855993321445266</v>
      </c>
      <c r="F51" s="487">
        <f>B51*($G$21*(1/2.2))^(1/3)/100</f>
        <v>0.81705794064324355</v>
      </c>
      <c r="G51" s="488">
        <v>0</v>
      </c>
      <c r="H51" s="469"/>
      <c r="I51" s="469"/>
      <c r="J51" s="469"/>
      <c r="K51" s="469"/>
      <c r="L51" s="469"/>
      <c r="M51" s="469"/>
    </row>
    <row r="52" spans="2:13" s="450" customFormat="1">
      <c r="B52" s="489">
        <v>20</v>
      </c>
      <c r="C52" s="490">
        <f t="shared" ref="C52:C71" si="10">(4/3)*PI()*(B52/2)^3</f>
        <v>4188.7902047863909</v>
      </c>
      <c r="D52" s="485">
        <f t="shared" ref="D52:D71" si="11">$G$21*1*C52/1000000000000</f>
        <v>5.0265482457436683E-6</v>
      </c>
      <c r="E52" s="486">
        <f t="shared" ref="E52:E71" si="12">D52*1000000/2.2</f>
        <v>2.2847946571562128</v>
      </c>
      <c r="F52" s="487">
        <f t="shared" ref="F52:F71" si="13">B52*($G$21*(1/2.2))^(1/3)/100</f>
        <v>1.6341158812864871</v>
      </c>
      <c r="G52" s="491">
        <v>0.19600000000000001</v>
      </c>
      <c r="H52" s="469"/>
      <c r="I52" s="469"/>
      <c r="J52" s="469"/>
      <c r="K52" s="469"/>
      <c r="L52" s="469"/>
      <c r="M52" s="469"/>
    </row>
    <row r="53" spans="2:13" s="450" customFormat="1">
      <c r="B53" s="489">
        <v>30</v>
      </c>
      <c r="C53" s="490">
        <f t="shared" si="10"/>
        <v>14137.166941154068</v>
      </c>
      <c r="D53" s="485">
        <f t="shared" si="11"/>
        <v>1.6964600329384882E-5</v>
      </c>
      <c r="E53" s="486">
        <f t="shared" si="12"/>
        <v>7.7111819679022187</v>
      </c>
      <c r="F53" s="487">
        <f t="shared" si="13"/>
        <v>2.4511738219297303</v>
      </c>
      <c r="G53" s="491">
        <v>0.22600000000000001</v>
      </c>
      <c r="H53" s="469"/>
      <c r="I53" s="469"/>
      <c r="J53" s="469"/>
      <c r="K53" s="469"/>
      <c r="L53" s="469"/>
      <c r="M53" s="469"/>
    </row>
    <row r="54" spans="2:13" s="450" customFormat="1">
      <c r="B54" s="489">
        <v>40</v>
      </c>
      <c r="C54" s="490">
        <f t="shared" si="10"/>
        <v>33510.321638291127</v>
      </c>
      <c r="D54" s="485">
        <f t="shared" si="11"/>
        <v>4.0212385965949346E-5</v>
      </c>
      <c r="E54" s="486">
        <f t="shared" si="12"/>
        <v>18.278357257249702</v>
      </c>
      <c r="F54" s="487">
        <f t="shared" si="13"/>
        <v>3.2682317625729742</v>
      </c>
      <c r="G54" s="491">
        <v>0.51400000000000001</v>
      </c>
      <c r="H54" s="469"/>
      <c r="I54" s="469"/>
      <c r="J54" s="469"/>
      <c r="K54" s="469"/>
      <c r="L54" s="469"/>
      <c r="M54" s="469"/>
    </row>
    <row r="55" spans="2:13" s="450" customFormat="1">
      <c r="B55" s="489">
        <v>50</v>
      </c>
      <c r="C55" s="490">
        <f t="shared" si="10"/>
        <v>65449.846949787352</v>
      </c>
      <c r="D55" s="485">
        <f t="shared" si="11"/>
        <v>7.8539816339744827E-5</v>
      </c>
      <c r="E55" s="486">
        <f t="shared" si="12"/>
        <v>35.699916518065827</v>
      </c>
      <c r="F55" s="487">
        <f t="shared" si="13"/>
        <v>4.0852897032162172</v>
      </c>
      <c r="G55" s="491">
        <v>1.8160000000000001</v>
      </c>
      <c r="H55" s="469"/>
      <c r="I55" s="469"/>
      <c r="J55" s="469"/>
      <c r="K55" s="469"/>
      <c r="L55" s="469"/>
      <c r="M55" s="469"/>
    </row>
    <row r="56" spans="2:13" s="450" customFormat="1">
      <c r="B56" s="489">
        <v>60</v>
      </c>
      <c r="C56" s="490">
        <f t="shared" si="10"/>
        <v>113097.33552923254</v>
      </c>
      <c r="D56" s="485">
        <f t="shared" si="11"/>
        <v>1.3571680263507906E-4</v>
      </c>
      <c r="E56" s="486">
        <f t="shared" si="12"/>
        <v>61.689455743217749</v>
      </c>
      <c r="F56" s="487">
        <f t="shared" si="13"/>
        <v>4.9023476438594606</v>
      </c>
      <c r="G56" s="491">
        <v>5.702</v>
      </c>
      <c r="H56" s="469"/>
      <c r="I56" s="469"/>
      <c r="J56" s="469"/>
      <c r="K56" s="469"/>
      <c r="L56" s="469"/>
      <c r="M56" s="469"/>
    </row>
    <row r="57" spans="2:13" s="450" customFormat="1">
      <c r="B57" s="489">
        <v>70</v>
      </c>
      <c r="C57" s="490">
        <f t="shared" si="10"/>
        <v>179594.3800302165</v>
      </c>
      <c r="D57" s="485">
        <f t="shared" si="11"/>
        <v>2.1551325603625979E-4</v>
      </c>
      <c r="E57" s="486">
        <f t="shared" si="12"/>
        <v>97.960570925572611</v>
      </c>
      <c r="F57" s="487">
        <f t="shared" si="13"/>
        <v>5.7194055845027041</v>
      </c>
      <c r="G57" s="491">
        <v>21.347999999999999</v>
      </c>
      <c r="H57" s="469"/>
      <c r="I57" s="469"/>
      <c r="J57" s="469"/>
      <c r="K57" s="469"/>
      <c r="L57" s="469"/>
      <c r="M57" s="469"/>
    </row>
    <row r="58" spans="2:13" s="450" customFormat="1">
      <c r="B58" s="489">
        <v>90</v>
      </c>
      <c r="C58" s="490">
        <f t="shared" si="10"/>
        <v>381703.50741115981</v>
      </c>
      <c r="D58" s="485">
        <f t="shared" si="11"/>
        <v>4.580442088933918E-4</v>
      </c>
      <c r="E58" s="486">
        <f t="shared" si="12"/>
        <v>208.20191313335988</v>
      </c>
      <c r="F58" s="487">
        <f t="shared" si="13"/>
        <v>7.353521465789191</v>
      </c>
      <c r="G58" s="491">
        <v>49.811999999999998</v>
      </c>
      <c r="H58" s="469"/>
      <c r="I58" s="469"/>
      <c r="J58" s="469"/>
      <c r="K58" s="469"/>
      <c r="L58" s="469"/>
      <c r="M58" s="469"/>
    </row>
    <row r="59" spans="2:13" s="450" customFormat="1">
      <c r="B59" s="489">
        <v>110</v>
      </c>
      <c r="C59" s="490">
        <f t="shared" si="10"/>
        <v>696909.97032133571</v>
      </c>
      <c r="D59" s="485">
        <f t="shared" si="11"/>
        <v>8.3629196438560281E-4</v>
      </c>
      <c r="E59" s="486">
        <f t="shared" si="12"/>
        <v>380.13271108436487</v>
      </c>
      <c r="F59" s="487">
        <f t="shared" si="13"/>
        <v>8.9876373470756779</v>
      </c>
      <c r="G59" s="491">
        <v>70.509</v>
      </c>
      <c r="H59" s="469"/>
      <c r="I59" s="469"/>
      <c r="J59" s="469"/>
      <c r="K59" s="469"/>
      <c r="L59" s="469"/>
      <c r="M59" s="469"/>
    </row>
    <row r="60" spans="2:13" s="450" customFormat="1">
      <c r="B60" s="489">
        <v>130</v>
      </c>
      <c r="C60" s="490">
        <f t="shared" si="10"/>
        <v>1150346.5099894626</v>
      </c>
      <c r="D60" s="485">
        <f t="shared" si="11"/>
        <v>1.380415811987355E-3</v>
      </c>
      <c r="E60" s="486">
        <f t="shared" si="12"/>
        <v>627.46173272152498</v>
      </c>
      <c r="F60" s="487">
        <f t="shared" si="13"/>
        <v>10.621753228362165</v>
      </c>
      <c r="G60" s="491">
        <v>82.022999999999996</v>
      </c>
      <c r="H60" s="469"/>
      <c r="I60" s="469"/>
      <c r="J60" s="469"/>
      <c r="K60" s="469"/>
      <c r="L60" s="469"/>
      <c r="M60" s="469"/>
    </row>
    <row r="61" spans="2:13" s="450" customFormat="1">
      <c r="B61" s="489">
        <v>150</v>
      </c>
      <c r="C61" s="490">
        <f t="shared" si="10"/>
        <v>1767145.8676442585</v>
      </c>
      <c r="D61" s="485">
        <f t="shared" si="11"/>
        <v>2.12057504117311E-3</v>
      </c>
      <c r="E61" s="486">
        <f t="shared" si="12"/>
        <v>963.89774598777728</v>
      </c>
      <c r="F61" s="487">
        <f t="shared" si="13"/>
        <v>12.255869109648652</v>
      </c>
      <c r="G61" s="491">
        <v>88.012</v>
      </c>
      <c r="H61" s="469"/>
      <c r="I61" s="469"/>
      <c r="J61" s="469"/>
      <c r="K61" s="469"/>
      <c r="L61" s="469"/>
      <c r="M61" s="469"/>
    </row>
    <row r="62" spans="2:13" s="450" customFormat="1">
      <c r="B62" s="489">
        <v>180</v>
      </c>
      <c r="C62" s="490">
        <f t="shared" si="10"/>
        <v>3053628.0592892785</v>
      </c>
      <c r="D62" s="485">
        <f t="shared" si="11"/>
        <v>3.6643536711471344E-3</v>
      </c>
      <c r="E62" s="486">
        <f t="shared" si="12"/>
        <v>1665.615305066879</v>
      </c>
      <c r="F62" s="487">
        <f t="shared" si="13"/>
        <v>14.707042931578382</v>
      </c>
      <c r="G62" s="491">
        <v>91.031999999999996</v>
      </c>
      <c r="H62" s="469"/>
      <c r="I62" s="469"/>
      <c r="J62" s="469"/>
      <c r="K62" s="469"/>
      <c r="L62" s="469"/>
      <c r="M62" s="469"/>
    </row>
    <row r="63" spans="2:13" s="450" customFormat="1">
      <c r="B63" s="489">
        <v>210</v>
      </c>
      <c r="C63" s="490">
        <f t="shared" si="10"/>
        <v>4849048.2608158449</v>
      </c>
      <c r="D63" s="485">
        <f t="shared" si="11"/>
        <v>5.8188579129790138E-3</v>
      </c>
      <c r="E63" s="486">
        <f t="shared" si="12"/>
        <v>2644.9354149904607</v>
      </c>
      <c r="F63" s="487">
        <f t="shared" si="13"/>
        <v>17.15821675350811</v>
      </c>
      <c r="G63" s="491">
        <v>92.468000000000004</v>
      </c>
      <c r="H63" s="469"/>
      <c r="I63" s="469"/>
      <c r="J63" s="469"/>
      <c r="K63" s="469"/>
      <c r="L63" s="469"/>
      <c r="M63" s="469"/>
    </row>
    <row r="64" spans="2:13" s="450" customFormat="1">
      <c r="B64" s="489">
        <v>240</v>
      </c>
      <c r="C64" s="490">
        <f t="shared" si="10"/>
        <v>7238229.4738708828</v>
      </c>
      <c r="D64" s="485">
        <f t="shared" si="11"/>
        <v>8.6858753686450598E-3</v>
      </c>
      <c r="E64" s="486">
        <f t="shared" si="12"/>
        <v>3948.125167565936</v>
      </c>
      <c r="F64" s="487">
        <f t="shared" si="13"/>
        <v>19.609390575437843</v>
      </c>
      <c r="G64" s="491">
        <v>94.090999999999994</v>
      </c>
      <c r="H64" s="469"/>
      <c r="I64" s="469"/>
      <c r="J64" s="469"/>
      <c r="K64" s="469"/>
      <c r="L64" s="469"/>
      <c r="M64" s="469"/>
    </row>
    <row r="65" spans="2:13" s="450" customFormat="1">
      <c r="B65" s="489">
        <v>270</v>
      </c>
      <c r="C65" s="490">
        <f t="shared" si="10"/>
        <v>10305994.700101316</v>
      </c>
      <c r="D65" s="485">
        <f t="shared" si="11"/>
        <v>1.2367193640121578E-2</v>
      </c>
      <c r="E65" s="486">
        <f t="shared" si="12"/>
        <v>5621.4516546007162</v>
      </c>
      <c r="F65" s="487">
        <f t="shared" si="13"/>
        <v>22.060564397367575</v>
      </c>
      <c r="G65" s="491">
        <v>94.688999999999993</v>
      </c>
      <c r="H65" s="469"/>
      <c r="I65" s="469"/>
      <c r="J65" s="469"/>
      <c r="K65" s="469"/>
      <c r="L65" s="469"/>
      <c r="M65" s="469"/>
    </row>
    <row r="66" spans="2:13" s="450" customFormat="1">
      <c r="B66" s="489">
        <v>300</v>
      </c>
      <c r="C66" s="490">
        <f t="shared" si="10"/>
        <v>14137166.941154068</v>
      </c>
      <c r="D66" s="485">
        <f t="shared" si="11"/>
        <v>1.696460032938488E-2</v>
      </c>
      <c r="E66" s="486">
        <f t="shared" si="12"/>
        <v>7711.1819679022183</v>
      </c>
      <c r="F66" s="487">
        <f t="shared" si="13"/>
        <v>24.511738219297303</v>
      </c>
      <c r="G66" s="491">
        <v>96.287999999999997</v>
      </c>
      <c r="H66" s="469"/>
      <c r="I66" s="469"/>
      <c r="J66" s="469"/>
      <c r="K66" s="469"/>
      <c r="L66" s="469"/>
      <c r="M66" s="469"/>
    </row>
    <row r="67" spans="2:13" s="450" customFormat="1">
      <c r="B67" s="489">
        <v>350</v>
      </c>
      <c r="C67" s="490">
        <f t="shared" si="10"/>
        <v>22449297.503777061</v>
      </c>
      <c r="D67" s="485">
        <f t="shared" si="11"/>
        <v>2.6939157004532473E-2</v>
      </c>
      <c r="E67" s="486">
        <f t="shared" si="12"/>
        <v>12245.071365696578</v>
      </c>
      <c r="F67" s="487">
        <f t="shared" si="13"/>
        <v>28.597027922513522</v>
      </c>
      <c r="G67" s="491">
        <v>97.010999999999996</v>
      </c>
      <c r="H67" s="469"/>
      <c r="I67" s="469"/>
      <c r="J67" s="469"/>
      <c r="K67" s="469"/>
      <c r="L67" s="469"/>
      <c r="M67" s="469"/>
    </row>
    <row r="68" spans="2:13" s="450" customFormat="1">
      <c r="B68" s="489">
        <v>400</v>
      </c>
      <c r="C68" s="490">
        <f t="shared" si="10"/>
        <v>33510321.638291124</v>
      </c>
      <c r="D68" s="485">
        <f t="shared" si="11"/>
        <v>4.0212385965949352E-2</v>
      </c>
      <c r="E68" s="486">
        <f t="shared" si="12"/>
        <v>18278.357257249703</v>
      </c>
      <c r="F68" s="487">
        <f t="shared" si="13"/>
        <v>32.682317625729738</v>
      </c>
      <c r="G68" s="491">
        <v>98.34</v>
      </c>
      <c r="H68" s="469"/>
      <c r="I68" s="469"/>
      <c r="J68" s="469"/>
      <c r="K68" s="469"/>
      <c r="L68" s="469"/>
      <c r="M68" s="469"/>
    </row>
    <row r="69" spans="2:13" s="450" customFormat="1">
      <c r="B69" s="489">
        <v>450</v>
      </c>
      <c r="C69" s="490">
        <f t="shared" si="10"/>
        <v>47712938.426394977</v>
      </c>
      <c r="D69" s="485">
        <f t="shared" si="11"/>
        <v>5.725552611167397E-2</v>
      </c>
      <c r="E69" s="486">
        <f t="shared" si="12"/>
        <v>26025.239141669987</v>
      </c>
      <c r="F69" s="487">
        <f t="shared" si="13"/>
        <v>36.767607328945957</v>
      </c>
      <c r="G69" s="491">
        <v>99.070999999999998</v>
      </c>
      <c r="H69" s="469"/>
      <c r="I69" s="469"/>
      <c r="J69" s="469"/>
      <c r="K69" s="469"/>
      <c r="L69" s="469"/>
      <c r="M69" s="469"/>
    </row>
    <row r="70" spans="2:13" s="450" customFormat="1">
      <c r="B70" s="489">
        <v>500</v>
      </c>
      <c r="C70" s="490">
        <f t="shared" si="10"/>
        <v>65449846.949787349</v>
      </c>
      <c r="D70" s="485">
        <f t="shared" si="11"/>
        <v>7.8539816339744814E-2</v>
      </c>
      <c r="E70" s="486">
        <f t="shared" si="12"/>
        <v>35699.916518065816</v>
      </c>
      <c r="F70" s="487">
        <f t="shared" si="13"/>
        <v>40.852897032162176</v>
      </c>
      <c r="G70" s="491">
        <v>99.070999999999998</v>
      </c>
      <c r="H70" s="469"/>
      <c r="I70" s="469"/>
      <c r="J70" s="469"/>
      <c r="K70" s="469"/>
      <c r="L70" s="469"/>
      <c r="M70" s="469"/>
    </row>
    <row r="71" spans="2:13" s="450" customFormat="1">
      <c r="B71" s="483">
        <v>600</v>
      </c>
      <c r="C71" s="484">
        <f t="shared" si="10"/>
        <v>113097335.52923255</v>
      </c>
      <c r="D71" s="485">
        <f t="shared" si="11"/>
        <v>0.13571680263507904</v>
      </c>
      <c r="E71" s="486">
        <f t="shared" si="12"/>
        <v>61689.455743217746</v>
      </c>
      <c r="F71" s="487">
        <f t="shared" si="13"/>
        <v>49.023476438594606</v>
      </c>
      <c r="G71" s="488">
        <v>100</v>
      </c>
      <c r="H71" s="469"/>
      <c r="I71" s="469"/>
      <c r="J71" s="469"/>
      <c r="K71" s="469"/>
      <c r="L71" s="469"/>
      <c r="M71" s="469"/>
    </row>
    <row r="72" spans="2:13" s="450" customFormat="1" ht="27" customHeight="1">
      <c r="B72" s="808" t="s">
        <v>532</v>
      </c>
      <c r="C72" s="808"/>
      <c r="D72" s="808"/>
      <c r="E72" s="808"/>
      <c r="F72" s="808"/>
      <c r="G72" s="808"/>
      <c r="H72" s="808"/>
      <c r="I72" s="469"/>
      <c r="J72" s="469"/>
      <c r="K72" s="469"/>
      <c r="L72" s="469"/>
      <c r="M72" s="469"/>
    </row>
    <row r="73" spans="2:13" s="450" customFormat="1" ht="14.25">
      <c r="B73" s="492" t="s">
        <v>533</v>
      </c>
      <c r="C73" s="493"/>
      <c r="D73" s="494"/>
      <c r="E73" s="495"/>
      <c r="F73" s="496"/>
      <c r="G73" s="497"/>
      <c r="H73" s="498"/>
      <c r="I73" s="469"/>
      <c r="J73" s="469"/>
      <c r="K73" s="469"/>
      <c r="L73" s="469"/>
      <c r="M73" s="469"/>
    </row>
    <row r="74" spans="2:13" s="450" customFormat="1" ht="14.25">
      <c r="B74" s="492" t="s">
        <v>534</v>
      </c>
      <c r="C74" s="493"/>
      <c r="D74" s="494"/>
      <c r="E74" s="495"/>
      <c r="F74" s="496"/>
      <c r="G74" s="497"/>
      <c r="H74" s="498"/>
      <c r="I74" s="469"/>
      <c r="J74" s="469"/>
      <c r="K74" s="469"/>
      <c r="L74" s="469"/>
      <c r="M74" s="469"/>
    </row>
    <row r="75" spans="2:13" s="450" customFormat="1" ht="14.25">
      <c r="B75" s="492" t="s">
        <v>535</v>
      </c>
      <c r="C75" s="493"/>
      <c r="D75" s="494"/>
      <c r="E75" s="495"/>
      <c r="F75" s="496"/>
      <c r="G75" s="497"/>
      <c r="H75" s="498"/>
      <c r="I75" s="469"/>
      <c r="J75" s="469"/>
      <c r="K75" s="469"/>
      <c r="L75" s="469"/>
      <c r="M75" s="469"/>
    </row>
    <row r="76" spans="2:13" s="450" customFormat="1" ht="14.25">
      <c r="B76" s="492" t="s">
        <v>536</v>
      </c>
      <c r="C76" s="493"/>
      <c r="D76" s="494"/>
      <c r="E76" s="495"/>
      <c r="F76" s="496"/>
      <c r="G76" s="497"/>
      <c r="H76" s="498"/>
      <c r="I76" s="469"/>
      <c r="J76" s="469"/>
      <c r="K76" s="469"/>
      <c r="L76" s="469"/>
      <c r="M76" s="469"/>
    </row>
    <row r="77" spans="2:13" s="450" customFormat="1" ht="15" customHeight="1">
      <c r="B77" s="469"/>
      <c r="C77" s="469"/>
      <c r="D77" s="469"/>
      <c r="E77" s="469"/>
      <c r="F77" s="469"/>
      <c r="G77" s="469"/>
      <c r="H77" s="469"/>
      <c r="I77" s="469"/>
      <c r="J77" s="469"/>
      <c r="K77" s="469"/>
      <c r="L77" s="469"/>
      <c r="M77" s="469"/>
    </row>
    <row r="78" spans="2:13" s="450" customFormat="1" ht="15" customHeight="1">
      <c r="B78" s="499" t="s">
        <v>527</v>
      </c>
      <c r="C78" s="455"/>
      <c r="D78" s="455"/>
      <c r="E78" s="455"/>
      <c r="F78" s="469"/>
      <c r="G78" s="469"/>
      <c r="H78" s="469"/>
      <c r="I78" s="469"/>
      <c r="J78" s="469"/>
      <c r="K78" s="469"/>
      <c r="L78" s="469"/>
      <c r="M78" s="469"/>
    </row>
    <row r="79" spans="2:13" s="450" customFormat="1" ht="6" customHeight="1">
      <c r="B79" s="469"/>
      <c r="C79" s="469"/>
      <c r="D79" s="469"/>
      <c r="E79" s="469"/>
      <c r="F79" s="469"/>
      <c r="G79" s="469"/>
      <c r="H79" s="469"/>
      <c r="I79" s="469"/>
      <c r="J79" s="469"/>
      <c r="K79" s="469"/>
      <c r="L79" s="469"/>
      <c r="M79" s="469"/>
    </row>
    <row r="80" spans="2:13" s="450" customFormat="1" ht="15" customHeight="1">
      <c r="B80" s="500" t="s">
        <v>528</v>
      </c>
      <c r="C80" s="501"/>
      <c r="D80" s="500" t="s">
        <v>529</v>
      </c>
      <c r="E80" s="501"/>
      <c r="F80" s="469"/>
      <c r="G80" s="469"/>
      <c r="H80" s="469"/>
      <c r="I80" s="469"/>
      <c r="J80" s="469"/>
      <c r="K80" s="469"/>
      <c r="L80" s="469"/>
      <c r="M80" s="469"/>
    </row>
    <row r="81" spans="2:15" s="450" customFormat="1" ht="15" customHeight="1">
      <c r="B81" s="502" t="s">
        <v>376</v>
      </c>
      <c r="C81" s="503"/>
      <c r="D81" s="502" t="s">
        <v>376</v>
      </c>
      <c r="E81" s="503"/>
      <c r="F81" s="469"/>
      <c r="G81" s="469"/>
      <c r="H81" s="469"/>
      <c r="I81" s="469"/>
      <c r="J81" s="469"/>
      <c r="K81" s="469"/>
      <c r="L81" s="469"/>
      <c r="M81" s="469"/>
    </row>
    <row r="82" spans="2:15" s="450" customFormat="1" ht="15" customHeight="1">
      <c r="B82" s="504">
        <f>G53+(2.5-F53)*(G54-G53)/(F54-F53)</f>
        <v>0.24321045544599584</v>
      </c>
      <c r="C82" s="505"/>
      <c r="D82" s="506">
        <f>G60+(10-F60)*(G61-G60)/(F61-F60)</f>
        <v>79.744287622681028</v>
      </c>
      <c r="E82" s="505"/>
      <c r="F82" s="469"/>
      <c r="G82" s="469"/>
      <c r="H82" s="469"/>
      <c r="I82" s="469"/>
      <c r="J82" s="469"/>
      <c r="K82" s="469"/>
      <c r="L82" s="469"/>
      <c r="M82" s="469"/>
    </row>
    <row r="83" spans="2:15" s="450" customFormat="1" ht="15" customHeight="1">
      <c r="B83" s="469"/>
      <c r="C83" s="469"/>
      <c r="D83" s="469"/>
      <c r="E83" s="469"/>
      <c r="F83" s="469"/>
      <c r="G83" s="469"/>
      <c r="H83" s="469"/>
      <c r="I83" s="469"/>
      <c r="J83" s="469"/>
      <c r="K83" s="469"/>
      <c r="L83" s="469"/>
      <c r="M83" s="469"/>
    </row>
    <row r="84" spans="2:15" s="448" customFormat="1" ht="15" customHeight="1">
      <c r="B84" s="507" t="s">
        <v>515</v>
      </c>
      <c r="C84" s="508"/>
      <c r="D84" s="508"/>
      <c r="E84" s="509"/>
      <c r="F84" s="509"/>
      <c r="G84" s="509"/>
      <c r="H84" s="509"/>
      <c r="I84" s="509"/>
      <c r="J84" s="509"/>
      <c r="K84" s="509"/>
      <c r="L84" s="509"/>
      <c r="M84" s="509"/>
      <c r="N84" s="451"/>
      <c r="O84" s="452"/>
    </row>
    <row r="85" spans="2:15" s="445" customFormat="1" ht="15" customHeight="1">
      <c r="B85" s="461" t="s">
        <v>516</v>
      </c>
      <c r="C85" s="510"/>
      <c r="D85" s="463"/>
      <c r="E85" s="463"/>
      <c r="F85" s="465"/>
      <c r="G85" s="511"/>
      <c r="H85" s="511"/>
      <c r="I85" s="465"/>
      <c r="J85" s="465"/>
      <c r="K85" s="465"/>
      <c r="L85" s="466"/>
      <c r="M85" s="466"/>
      <c r="N85" s="447"/>
      <c r="O85" s="447"/>
    </row>
    <row r="86" spans="2:15" s="445" customFormat="1" ht="15" customHeight="1">
      <c r="B86" s="461" t="s">
        <v>530</v>
      </c>
      <c r="C86" s="510"/>
      <c r="D86" s="463"/>
      <c r="E86" s="463"/>
      <c r="F86" s="465"/>
      <c r="G86" s="511"/>
      <c r="H86" s="511"/>
      <c r="I86" s="465"/>
      <c r="J86" s="465"/>
      <c r="K86" s="465"/>
      <c r="L86" s="466"/>
      <c r="M86" s="466"/>
      <c r="N86" s="447"/>
      <c r="O86" s="447"/>
    </row>
    <row r="87" spans="2:15" s="445" customFormat="1" ht="15" customHeight="1">
      <c r="B87" s="461" t="s">
        <v>531</v>
      </c>
      <c r="C87" s="510"/>
      <c r="D87" s="463"/>
      <c r="E87" s="463"/>
      <c r="F87" s="465"/>
      <c r="G87" s="511"/>
      <c r="H87" s="511"/>
      <c r="I87" s="465"/>
      <c r="J87" s="465"/>
      <c r="K87" s="465"/>
      <c r="L87" s="466"/>
      <c r="M87" s="466"/>
      <c r="N87" s="447"/>
      <c r="O87" s="447"/>
    </row>
    <row r="88" spans="2:15" s="445" customFormat="1" ht="15" customHeight="1">
      <c r="B88" s="461" t="s">
        <v>517</v>
      </c>
      <c r="C88" s="510"/>
      <c r="D88" s="463"/>
      <c r="E88" s="463"/>
      <c r="F88" s="465"/>
      <c r="G88" s="511"/>
      <c r="H88" s="511"/>
      <c r="I88" s="465"/>
      <c r="J88" s="465"/>
      <c r="K88" s="465"/>
      <c r="L88" s="466"/>
      <c r="M88" s="466"/>
      <c r="N88" s="447"/>
      <c r="O88" s="447"/>
    </row>
  </sheetData>
  <mergeCells count="10">
    <mergeCell ref="B32:H32"/>
    <mergeCell ref="B46:G46"/>
    <mergeCell ref="B72:H72"/>
    <mergeCell ref="B14:M14"/>
    <mergeCell ref="B17:B19"/>
    <mergeCell ref="C17:E18"/>
    <mergeCell ref="G17:G18"/>
    <mergeCell ref="H17:I18"/>
    <mergeCell ref="J17:K18"/>
    <mergeCell ref="L17:M18"/>
  </mergeCells>
  <pageMargins left="0.2" right="0.2" top="0.5" bottom="0.5" header="0.05" footer="0.05"/>
  <pageSetup scale="72" fitToHeight="3" orientation="landscape" horizontalDpi="1200" verticalDpi="1200" r:id="rId1"/>
  <rowBreaks count="1" manualBreakCount="1">
    <brk id="45"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CFA57-0848-467B-95FF-FCD846E3574B}">
  <dimension ref="J1:L1"/>
  <sheetViews>
    <sheetView workbookViewId="0">
      <selection activeCell="L2" sqref="L2"/>
    </sheetView>
  </sheetViews>
  <sheetFormatPr defaultRowHeight="15"/>
  <sheetData>
    <row r="1" spans="10:12">
      <c r="J1" s="373">
        <v>1200</v>
      </c>
      <c r="L1">
        <f>J1%/1000000</f>
        <v>1.2E-5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217"/>
  <sheetViews>
    <sheetView topLeftCell="A82" zoomScale="120" zoomScaleNormal="120" zoomScaleSheetLayoutView="100" workbookViewId="0">
      <selection activeCell="D95" sqref="D95"/>
    </sheetView>
  </sheetViews>
  <sheetFormatPr defaultColWidth="9.140625" defaultRowHeight="12.75"/>
  <cols>
    <col min="1" max="1" width="2.42578125" style="1" customWidth="1"/>
    <col min="2" max="2" width="39.85546875" style="1" customWidth="1"/>
    <col min="3" max="3" width="11.7109375" style="1" customWidth="1"/>
    <col min="4" max="4" width="11.42578125" style="1" customWidth="1"/>
    <col min="5" max="5" width="11.5703125" style="1" customWidth="1"/>
    <col min="6" max="6" width="10.28515625" style="1" bestFit="1" customWidth="1"/>
    <col min="7" max="7" width="64.5703125" style="2" bestFit="1" customWidth="1"/>
    <col min="8" max="8" width="9.140625" style="1"/>
    <col min="9" max="9" width="20.42578125" style="304" bestFit="1" customWidth="1"/>
    <col min="10" max="11" width="9.140625" style="304"/>
    <col min="12" max="12" width="12.42578125" style="1" bestFit="1" customWidth="1"/>
    <col min="13" max="16384" width="9.140625" style="1"/>
  </cols>
  <sheetData>
    <row r="1" spans="2:14" ht="11.25" customHeight="1"/>
    <row r="2" spans="2:14" s="6" customFormat="1">
      <c r="B2" s="5" t="str">
        <f>'Key Inputs'!B2</f>
        <v>Company Name:</v>
      </c>
      <c r="C2" s="279" t="str">
        <f>'Key Inputs'!C2</f>
        <v>U. S. Steel Corp.</v>
      </c>
      <c r="F2" s="5"/>
      <c r="G2" s="7"/>
      <c r="I2" s="305"/>
      <c r="J2" s="305"/>
      <c r="K2" s="305"/>
    </row>
    <row r="3" spans="2:14" s="6" customFormat="1">
      <c r="B3" s="5" t="str">
        <f>'Key Inputs'!B3</f>
        <v>Site Name:</v>
      </c>
      <c r="C3" s="279" t="str">
        <f>'Key Inputs'!C3</f>
        <v>Edgar Thomson Plant</v>
      </c>
      <c r="F3" s="5"/>
      <c r="G3" s="7"/>
      <c r="I3" s="305"/>
      <c r="J3" s="305"/>
      <c r="K3" s="305"/>
    </row>
    <row r="4" spans="2:14" s="6" customFormat="1">
      <c r="B4" s="5" t="str">
        <f>'Key Inputs'!B4</f>
        <v>Description:</v>
      </c>
      <c r="C4" s="279" t="str">
        <f>'Key Inputs'!C4</f>
        <v>Title V Permit Renewal</v>
      </c>
      <c r="F4" s="5"/>
      <c r="G4" s="7"/>
      <c r="I4" s="305" t="s">
        <v>780</v>
      </c>
      <c r="J4" s="722" t="s">
        <v>31</v>
      </c>
      <c r="K4" s="305"/>
    </row>
    <row r="5" spans="2:14" s="6" customFormat="1">
      <c r="B5" s="5" t="str">
        <f>'Key Inputs'!B5</f>
        <v>Date:</v>
      </c>
      <c r="C5" s="281" t="str">
        <f>'Key Inputs'!C5</f>
        <v>10/7/2020 - DRAFT</v>
      </c>
      <c r="F5" s="5"/>
      <c r="G5" s="7"/>
      <c r="I5" s="305" t="s">
        <v>781</v>
      </c>
      <c r="J5" s="721">
        <f>C17+'2. BF #1 Stoves (P001b)'!C15</f>
        <v>7624.6175637393771</v>
      </c>
      <c r="K5" s="305"/>
    </row>
    <row r="6" spans="2:14" s="6" customFormat="1">
      <c r="B6" s="5"/>
      <c r="C6" s="5"/>
      <c r="D6" s="5"/>
      <c r="F6" s="5"/>
      <c r="G6" s="7"/>
      <c r="I6" s="305" t="s">
        <v>782</v>
      </c>
      <c r="J6" s="721">
        <f>C18+C19+'2. BF #1 Stoves (P001b)'!C16</f>
        <v>11322.30459994073</v>
      </c>
      <c r="K6" s="305"/>
    </row>
    <row r="7" spans="2:14" s="11" customFormat="1">
      <c r="B7" s="10" t="s">
        <v>223</v>
      </c>
      <c r="C7" s="10"/>
      <c r="D7" s="10"/>
      <c r="F7" s="10"/>
      <c r="G7" s="12"/>
      <c r="I7" s="306" t="s">
        <v>783</v>
      </c>
      <c r="J7" s="430">
        <f>'2. BF #1 Stoves (P001b)'!C17+'3. BFG Flare (P001c)'!C15</f>
        <v>74460</v>
      </c>
      <c r="K7" s="306"/>
    </row>
    <row r="8" spans="2:14" s="16" customFormat="1">
      <c r="B8" s="14"/>
      <c r="C8" s="15"/>
      <c r="G8" s="17"/>
      <c r="I8" s="304"/>
      <c r="J8" s="304"/>
      <c r="K8" s="304"/>
    </row>
    <row r="9" spans="2:14" s="18" customFormat="1">
      <c r="B9" s="19" t="s">
        <v>25</v>
      </c>
      <c r="C9" s="20" t="s">
        <v>224</v>
      </c>
      <c r="D9" s="19"/>
      <c r="G9" s="21"/>
      <c r="I9" s="307"/>
      <c r="J9" s="307"/>
      <c r="K9" s="307"/>
    </row>
    <row r="10" spans="2:14" s="18" customFormat="1">
      <c r="B10" s="19" t="s">
        <v>56</v>
      </c>
      <c r="C10" s="23" t="s">
        <v>174</v>
      </c>
      <c r="D10" s="19"/>
      <c r="G10" s="21"/>
      <c r="I10" s="307"/>
      <c r="J10" s="307"/>
      <c r="K10" s="307"/>
    </row>
    <row r="11" spans="2:14" s="18" customFormat="1">
      <c r="B11" s="19" t="s">
        <v>291</v>
      </c>
      <c r="C11" s="23" t="s">
        <v>292</v>
      </c>
      <c r="D11" s="19"/>
      <c r="G11" s="21"/>
      <c r="I11" s="307"/>
      <c r="J11" s="307"/>
      <c r="K11" s="307"/>
    </row>
    <row r="12" spans="2:14" s="18" customFormat="1">
      <c r="B12" s="19" t="s">
        <v>26</v>
      </c>
      <c r="C12" s="24">
        <f>'Key Inputs'!$G$20</f>
        <v>8760</v>
      </c>
      <c r="D12" s="21" t="s">
        <v>10</v>
      </c>
      <c r="G12" s="20"/>
      <c r="I12" s="307"/>
      <c r="J12" s="307"/>
      <c r="K12" s="307"/>
    </row>
    <row r="13" spans="2:14" s="18" customFormat="1">
      <c r="B13" s="19" t="s">
        <v>14</v>
      </c>
      <c r="C13" s="79" t="s">
        <v>176</v>
      </c>
      <c r="D13" s="21"/>
      <c r="G13" s="20"/>
      <c r="I13" s="307"/>
      <c r="J13" s="307"/>
      <c r="K13" s="307"/>
    </row>
    <row r="14" spans="2:14" s="18" customFormat="1">
      <c r="B14" s="19" t="s">
        <v>225</v>
      </c>
      <c r="C14" s="184">
        <v>140000</v>
      </c>
      <c r="D14" s="21" t="s">
        <v>118</v>
      </c>
      <c r="G14" s="20"/>
      <c r="I14" s="307" t="s">
        <v>254</v>
      </c>
      <c r="J14" s="307"/>
      <c r="K14" s="307"/>
      <c r="L14" s="307" t="s">
        <v>579</v>
      </c>
      <c r="M14" s="307"/>
      <c r="N14" s="307"/>
    </row>
    <row r="15" spans="2:14" s="18" customFormat="1">
      <c r="B15" s="19" t="s">
        <v>226</v>
      </c>
      <c r="C15" s="294">
        <v>0.01</v>
      </c>
      <c r="D15" s="21" t="s">
        <v>9</v>
      </c>
      <c r="G15" s="20"/>
      <c r="I15" s="307" t="s">
        <v>254</v>
      </c>
      <c r="J15" s="307"/>
      <c r="K15" s="307"/>
      <c r="L15" s="307">
        <f>74.57+60.83</f>
        <v>135.39999999999998</v>
      </c>
      <c r="M15" s="307" t="s">
        <v>580</v>
      </c>
      <c r="N15" s="307"/>
    </row>
    <row r="16" spans="2:14" s="18" customFormat="1">
      <c r="B16" s="19" t="s">
        <v>231</v>
      </c>
      <c r="C16" s="184">
        <f>'Key Inputs'!E13</f>
        <v>1752000</v>
      </c>
      <c r="D16" s="21" t="s">
        <v>6</v>
      </c>
      <c r="G16" s="20"/>
      <c r="I16" s="307" t="s">
        <v>254</v>
      </c>
      <c r="J16" s="307"/>
      <c r="K16" s="307"/>
      <c r="L16" s="307" t="s">
        <v>581</v>
      </c>
      <c r="M16" s="307"/>
      <c r="N16" s="307"/>
    </row>
    <row r="17" spans="2:14" s="18" customFormat="1">
      <c r="B17" s="19" t="s">
        <v>252</v>
      </c>
      <c r="C17" s="184">
        <v>3530</v>
      </c>
      <c r="D17" s="21" t="s">
        <v>31</v>
      </c>
      <c r="G17" s="20"/>
      <c r="I17" s="307" t="s">
        <v>255</v>
      </c>
      <c r="J17" s="307"/>
      <c r="K17" s="307"/>
      <c r="L17" s="429">
        <v>2287587</v>
      </c>
      <c r="M17" s="307" t="s">
        <v>144</v>
      </c>
      <c r="N17" s="307"/>
    </row>
    <row r="18" spans="2:14" s="18" customFormat="1">
      <c r="B18" s="19" t="s">
        <v>253</v>
      </c>
      <c r="C18" s="184">
        <v>2820</v>
      </c>
      <c r="D18" s="21" t="s">
        <v>31</v>
      </c>
      <c r="G18" s="20"/>
      <c r="I18" s="307" t="s">
        <v>255</v>
      </c>
      <c r="J18" s="307"/>
      <c r="K18" s="307"/>
      <c r="L18" s="429">
        <f>C16*2</f>
        <v>3504000</v>
      </c>
      <c r="M18" s="307" t="s">
        <v>582</v>
      </c>
      <c r="N18" s="307"/>
    </row>
    <row r="19" spans="2:14" s="18" customFormat="1">
      <c r="B19" s="19" t="s">
        <v>577</v>
      </c>
      <c r="C19" s="184">
        <f>L15/L17*L18/2</f>
        <v>103.69913799999736</v>
      </c>
      <c r="D19" s="21" t="s">
        <v>31</v>
      </c>
      <c r="G19" s="20"/>
      <c r="I19" s="307" t="s">
        <v>578</v>
      </c>
      <c r="J19" s="307"/>
      <c r="K19" s="307"/>
    </row>
    <row r="20" spans="2:14" s="18" customFormat="1">
      <c r="B20" s="19"/>
      <c r="C20" s="184"/>
      <c r="D20" s="21"/>
      <c r="G20" s="20"/>
      <c r="I20" s="307"/>
      <c r="J20" s="307"/>
      <c r="K20" s="307"/>
    </row>
    <row r="21" spans="2:14" s="18" customFormat="1" ht="6" customHeight="1">
      <c r="D21" s="27"/>
      <c r="E21" s="25"/>
      <c r="F21" s="25"/>
      <c r="G21" s="21"/>
      <c r="I21" s="307"/>
      <c r="J21" s="307"/>
      <c r="K21" s="307"/>
    </row>
    <row r="22" spans="2:14" s="11" customFormat="1">
      <c r="B22" s="316" t="s">
        <v>248</v>
      </c>
      <c r="C22" s="316"/>
      <c r="D22" s="316"/>
      <c r="E22" s="317"/>
      <c r="F22" s="316"/>
      <c r="G22" s="318"/>
      <c r="I22" s="306"/>
      <c r="J22" s="306"/>
      <c r="K22" s="306"/>
    </row>
    <row r="23" spans="2:14" s="18" customFormat="1" ht="6" customHeight="1" thickBot="1">
      <c r="D23" s="27"/>
      <c r="E23" s="25"/>
      <c r="F23" s="25"/>
      <c r="G23" s="21"/>
      <c r="I23" s="307"/>
      <c r="J23" s="307"/>
      <c r="K23" s="307"/>
    </row>
    <row r="24" spans="2:14" s="18" customFormat="1" ht="6" customHeight="1">
      <c r="B24" s="28"/>
      <c r="C24" s="29"/>
      <c r="D24" s="30"/>
      <c r="E24" s="31"/>
      <c r="F24" s="31"/>
      <c r="G24" s="298"/>
      <c r="I24" s="307"/>
      <c r="J24" s="307"/>
      <c r="K24" s="307"/>
    </row>
    <row r="25" spans="2:14" s="37" customFormat="1" ht="38.25">
      <c r="B25" s="33" t="s">
        <v>32</v>
      </c>
      <c r="C25" s="34" t="s">
        <v>140</v>
      </c>
      <c r="D25" s="34" t="s">
        <v>141</v>
      </c>
      <c r="E25" s="34" t="s">
        <v>139</v>
      </c>
      <c r="F25" s="34" t="s">
        <v>35</v>
      </c>
      <c r="G25" s="35" t="s">
        <v>36</v>
      </c>
      <c r="I25" s="787" t="s">
        <v>232</v>
      </c>
      <c r="J25" s="787"/>
      <c r="K25" s="787"/>
    </row>
    <row r="26" spans="2:14" s="18" customFormat="1" ht="6" customHeight="1" thickBot="1">
      <c r="B26" s="38"/>
      <c r="C26" s="39"/>
      <c r="D26" s="40"/>
      <c r="E26" s="41"/>
      <c r="F26" s="41"/>
      <c r="G26" s="299"/>
      <c r="I26" s="307"/>
      <c r="J26" s="307"/>
      <c r="K26" s="307"/>
    </row>
    <row r="27" spans="2:14" s="18" customFormat="1" ht="6" customHeight="1">
      <c r="B27" s="28"/>
      <c r="C27" s="29"/>
      <c r="D27" s="30"/>
      <c r="E27" s="31"/>
      <c r="F27" s="31"/>
      <c r="G27" s="298"/>
      <c r="I27" s="307"/>
      <c r="J27" s="307"/>
      <c r="K27" s="307"/>
    </row>
    <row r="28" spans="2:14" s="16" customFormat="1">
      <c r="B28" s="43" t="s">
        <v>37</v>
      </c>
      <c r="C28" s="44"/>
      <c r="D28" s="45"/>
      <c r="E28" s="46"/>
      <c r="F28" s="46"/>
      <c r="G28" s="300"/>
      <c r="I28" s="309">
        <v>2018</v>
      </c>
      <c r="J28" s="309">
        <v>2016</v>
      </c>
      <c r="K28" s="309">
        <v>2014</v>
      </c>
    </row>
    <row r="29" spans="2:14" s="160" customFormat="1" ht="15" customHeight="1">
      <c r="B29" s="48" t="s">
        <v>228</v>
      </c>
      <c r="C29" s="49">
        <v>48.67</v>
      </c>
      <c r="D29" s="50">
        <v>213.17</v>
      </c>
      <c r="E29" s="577" t="s">
        <v>21</v>
      </c>
      <c r="F29" s="578" t="s">
        <v>21</v>
      </c>
      <c r="G29" s="301" t="s">
        <v>649</v>
      </c>
      <c r="I29" s="310"/>
      <c r="J29" s="310"/>
      <c r="K29" s="310"/>
    </row>
    <row r="30" spans="2:14" s="160" customFormat="1" ht="15" customHeight="1">
      <c r="B30" s="48" t="s">
        <v>229</v>
      </c>
      <c r="C30" s="49">
        <v>48.67</v>
      </c>
      <c r="D30" s="50">
        <v>213.17</v>
      </c>
      <c r="E30" s="577" t="s">
        <v>21</v>
      </c>
      <c r="F30" s="578" t="s">
        <v>21</v>
      </c>
      <c r="G30" s="301" t="s">
        <v>649</v>
      </c>
      <c r="I30" s="310"/>
      <c r="J30" s="310"/>
      <c r="K30" s="310"/>
    </row>
    <row r="31" spans="2:14" s="160" customFormat="1" ht="15" customHeight="1">
      <c r="B31" s="48" t="s">
        <v>230</v>
      </c>
      <c r="C31" s="49">
        <v>48.67</v>
      </c>
      <c r="D31" s="50">
        <v>213.17</v>
      </c>
      <c r="E31" s="577" t="s">
        <v>21</v>
      </c>
      <c r="F31" s="578" t="s">
        <v>21</v>
      </c>
      <c r="G31" s="301" t="s">
        <v>649</v>
      </c>
      <c r="I31" s="310"/>
      <c r="J31" s="310"/>
      <c r="K31" s="310"/>
    </row>
    <row r="32" spans="2:14" s="160" customFormat="1" ht="15" customHeight="1">
      <c r="B32" s="48" t="s">
        <v>227</v>
      </c>
      <c r="C32" s="49">
        <f t="shared" ref="C32" si="0">D32*2000/$C$12</f>
        <v>1.8373065662902548</v>
      </c>
      <c r="D32" s="50">
        <f t="shared" ref="D32" si="1">E32*$C$16/2000</f>
        <v>8.0474027603513161</v>
      </c>
      <c r="E32" s="577">
        <f>MAX('EF Dev Tests'!G33:G34)*1.15</f>
        <v>9.1865328314512749E-3</v>
      </c>
      <c r="F32" s="578" t="s">
        <v>96</v>
      </c>
      <c r="G32" s="301" t="s">
        <v>800</v>
      </c>
      <c r="H32" s="734" t="s">
        <v>790</v>
      </c>
      <c r="I32" s="734"/>
      <c r="J32" s="734"/>
      <c r="K32" s="734"/>
    </row>
    <row r="33" spans="2:11" s="160" customFormat="1" ht="15" customHeight="1">
      <c r="B33" s="48" t="s">
        <v>148</v>
      </c>
      <c r="C33" s="49">
        <f t="shared" ref="C33:C34" si="2">D33*2000/$C$12</f>
        <v>0.87536595566708486</v>
      </c>
      <c r="D33" s="50">
        <f t="shared" ref="D33:D34" si="3">E33*$C$16/2000</f>
        <v>3.834102885821832</v>
      </c>
      <c r="E33" s="577">
        <f>MAX('EF Dev Tests'!E33:E34)*1.15</f>
        <v>4.3768297783354244E-3</v>
      </c>
      <c r="F33" s="578" t="s">
        <v>96</v>
      </c>
      <c r="G33" s="301" t="s">
        <v>800</v>
      </c>
      <c r="I33" s="310"/>
      <c r="J33" s="310"/>
      <c r="K33" s="310"/>
    </row>
    <row r="34" spans="2:11" s="160" customFormat="1" ht="15" customHeight="1">
      <c r="B34" s="48" t="s">
        <v>40</v>
      </c>
      <c r="C34" s="49">
        <f t="shared" si="2"/>
        <v>177.63195315767459</v>
      </c>
      <c r="D34" s="50">
        <f t="shared" si="3"/>
        <v>778.0279548306147</v>
      </c>
      <c r="E34" s="577">
        <f>MAX('EF Dev Tests'!I33:I34)*1.15</f>
        <v>0.88815976578837297</v>
      </c>
      <c r="F34" s="578" t="s">
        <v>96</v>
      </c>
      <c r="G34" s="301" t="s">
        <v>800</v>
      </c>
      <c r="I34" s="310"/>
      <c r="J34" s="310"/>
      <c r="K34" s="310"/>
    </row>
    <row r="35" spans="2:11" s="160" customFormat="1" ht="15" customHeight="1">
      <c r="B35" s="48" t="s">
        <v>149</v>
      </c>
      <c r="C35" s="49">
        <v>45.1</v>
      </c>
      <c r="D35" s="50">
        <f>C35*C12/2000</f>
        <v>197.53800000000001</v>
      </c>
      <c r="E35" s="577" t="s">
        <v>21</v>
      </c>
      <c r="F35" s="578" t="s">
        <v>21</v>
      </c>
      <c r="G35" s="301" t="s">
        <v>749</v>
      </c>
      <c r="I35" s="310">
        <v>0.16</v>
      </c>
      <c r="J35" s="310">
        <v>7.1999999999999995E-2</v>
      </c>
      <c r="K35" s="310">
        <v>0.11799999999999999</v>
      </c>
    </row>
    <row r="36" spans="2:11" s="160" customFormat="1" ht="15" customHeight="1">
      <c r="B36" s="48" t="s">
        <v>65</v>
      </c>
      <c r="C36" s="49">
        <f t="shared" ref="C36" si="4">D36*2000/$C$12</f>
        <v>3.3684827182190977</v>
      </c>
      <c r="D36" s="50">
        <f t="shared" ref="D36" si="5">E36*$C$16/2000</f>
        <v>14.753954305799649</v>
      </c>
      <c r="E36" s="163">
        <f>MAX('EF Dev Tests'!K33:K34)*1.15</f>
        <v>1.6842413591095489E-2</v>
      </c>
      <c r="F36" s="52" t="s">
        <v>96</v>
      </c>
      <c r="G36" s="301" t="s">
        <v>800</v>
      </c>
      <c r="I36" s="310"/>
      <c r="J36" s="310"/>
      <c r="K36" s="310"/>
    </row>
    <row r="37" spans="2:11" s="160" customFormat="1" ht="15" customHeight="1">
      <c r="B37" s="48" t="s">
        <v>267</v>
      </c>
      <c r="C37" s="49">
        <f t="shared" ref="C37" si="6">D37*2000/$C$12</f>
        <v>0.46365537432036796</v>
      </c>
      <c r="D37" s="50">
        <f t="shared" ref="D37" si="7">E37*$C$16/2000</f>
        <v>2.0308105395232117</v>
      </c>
      <c r="E37" s="163">
        <f>MAX('EF Dev Tests'!C33:C34)*1.15</f>
        <v>2.3182768716018399E-3</v>
      </c>
      <c r="F37" s="52" t="s">
        <v>96</v>
      </c>
      <c r="G37" s="301" t="s">
        <v>800</v>
      </c>
      <c r="I37" s="310"/>
      <c r="J37" s="310"/>
      <c r="K37" s="310"/>
    </row>
    <row r="38" spans="2:11" s="16" customFormat="1" ht="6.75" customHeight="1">
      <c r="B38" s="48"/>
      <c r="C38" s="49"/>
      <c r="D38" s="50"/>
      <c r="E38" s="80"/>
      <c r="F38" s="52"/>
      <c r="G38" s="301"/>
      <c r="I38" s="304"/>
      <c r="J38" s="304"/>
      <c r="K38" s="304"/>
    </row>
    <row r="39" spans="2:11" s="16" customFormat="1">
      <c r="B39" s="43" t="s">
        <v>41</v>
      </c>
      <c r="C39" s="49"/>
      <c r="D39" s="50"/>
      <c r="E39" s="80"/>
      <c r="F39" s="52"/>
      <c r="G39" s="301"/>
      <c r="I39" s="304"/>
      <c r="J39" s="304"/>
      <c r="K39" s="304"/>
    </row>
    <row r="40" spans="2:11" s="16" customFormat="1">
      <c r="B40" s="58" t="s">
        <v>86</v>
      </c>
      <c r="C40" s="49"/>
      <c r="D40" s="50"/>
      <c r="E40" s="80"/>
      <c r="F40" s="52"/>
      <c r="G40" s="301"/>
      <c r="I40" s="304"/>
      <c r="J40" s="304"/>
      <c r="K40" s="304"/>
    </row>
    <row r="41" spans="2:11" s="16" customFormat="1">
      <c r="B41" s="48" t="s">
        <v>234</v>
      </c>
      <c r="C41" s="62">
        <f>$C$29*E41%</f>
        <v>5.9824190600000007E-4</v>
      </c>
      <c r="D41" s="62">
        <f>$D$29*E41%</f>
        <v>2.6202430060000004E-3</v>
      </c>
      <c r="E41" s="82">
        <v>1.2291800000000001E-3</v>
      </c>
      <c r="F41" s="52" t="s">
        <v>245</v>
      </c>
      <c r="G41" s="301" t="s">
        <v>246</v>
      </c>
      <c r="I41" s="304"/>
      <c r="J41" s="304"/>
      <c r="K41" s="304"/>
    </row>
    <row r="42" spans="2:11" s="16" customFormat="1">
      <c r="B42" s="48" t="s">
        <v>235</v>
      </c>
      <c r="C42" s="62">
        <f t="shared" ref="C42:C52" si="8">$C$29*E42%</f>
        <v>5.9087691824999983E-5</v>
      </c>
      <c r="D42" s="62">
        <f t="shared" ref="D42:D52" si="9">$D$29*E42%</f>
        <v>2.5879850557499991E-4</v>
      </c>
      <c r="E42" s="82">
        <v>1.2140474999999998E-4</v>
      </c>
      <c r="F42" s="52" t="s">
        <v>245</v>
      </c>
      <c r="G42" s="301" t="s">
        <v>246</v>
      </c>
      <c r="I42" s="304"/>
      <c r="J42" s="304"/>
      <c r="K42" s="304"/>
    </row>
    <row r="43" spans="2:11" s="16" customFormat="1">
      <c r="B43" s="48" t="s">
        <v>236</v>
      </c>
      <c r="C43" s="62">
        <f t="shared" si="8"/>
        <v>6.0928147874999989E-5</v>
      </c>
      <c r="D43" s="62">
        <f t="shared" si="9"/>
        <v>2.6685952912499993E-4</v>
      </c>
      <c r="E43" s="82">
        <v>1.2518624999999998E-4</v>
      </c>
      <c r="F43" s="52" t="s">
        <v>245</v>
      </c>
      <c r="G43" s="301" t="s">
        <v>246</v>
      </c>
      <c r="I43" s="304"/>
      <c r="J43" s="304"/>
      <c r="K43" s="304"/>
    </row>
    <row r="44" spans="2:11" s="16" customFormat="1">
      <c r="B44" s="48" t="s">
        <v>237</v>
      </c>
      <c r="C44" s="62">
        <f t="shared" si="8"/>
        <v>2.2324466635000002E-4</v>
      </c>
      <c r="D44" s="62">
        <f t="shared" si="9"/>
        <v>9.7779053885000008E-4</v>
      </c>
      <c r="E44" s="82">
        <v>4.5869050000000005E-4</v>
      </c>
      <c r="F44" s="52" t="s">
        <v>245</v>
      </c>
      <c r="G44" s="301" t="s">
        <v>246</v>
      </c>
      <c r="I44" s="304"/>
      <c r="J44" s="304"/>
      <c r="K44" s="304"/>
    </row>
    <row r="45" spans="2:11" s="16" customFormat="1">
      <c r="B45" s="48" t="s">
        <v>238</v>
      </c>
      <c r="C45" s="62">
        <f t="shared" si="8"/>
        <v>6.5323413900000007E-3</v>
      </c>
      <c r="D45" s="62">
        <f t="shared" si="9"/>
        <v>2.861103789E-2</v>
      </c>
      <c r="E45" s="82">
        <v>1.3421700000000002E-2</v>
      </c>
      <c r="F45" s="52" t="s">
        <v>245</v>
      </c>
      <c r="G45" s="301" t="s">
        <v>246</v>
      </c>
      <c r="I45" s="304"/>
      <c r="J45" s="304"/>
      <c r="K45" s="304"/>
    </row>
    <row r="46" spans="2:11" s="16" customFormat="1">
      <c r="B46" s="48" t="s">
        <v>239</v>
      </c>
      <c r="C46" s="62">
        <f t="shared" si="8"/>
        <v>3.1944797850000004E-4</v>
      </c>
      <c r="D46" s="62">
        <f t="shared" si="9"/>
        <v>1.3991519535E-3</v>
      </c>
      <c r="E46" s="82">
        <v>6.5635500000000007E-4</v>
      </c>
      <c r="F46" s="52" t="s">
        <v>245</v>
      </c>
      <c r="G46" s="301" t="s">
        <v>246</v>
      </c>
      <c r="I46" s="304"/>
      <c r="J46" s="304"/>
      <c r="K46" s="304"/>
    </row>
    <row r="47" spans="2:11" s="16" customFormat="1">
      <c r="B47" s="48" t="s">
        <v>91</v>
      </c>
      <c r="C47" s="62">
        <f t="shared" si="8"/>
        <v>2.8372006155000006E-3</v>
      </c>
      <c r="D47" s="62">
        <f t="shared" si="9"/>
        <v>1.2426670540500001E-2</v>
      </c>
      <c r="E47" s="82">
        <v>5.8294650000000016E-3</v>
      </c>
      <c r="F47" s="52" t="s">
        <v>245</v>
      </c>
      <c r="G47" s="301" t="s">
        <v>246</v>
      </c>
      <c r="I47" s="304"/>
      <c r="J47" s="304"/>
      <c r="K47" s="304"/>
    </row>
    <row r="48" spans="2:11" s="16" customFormat="1">
      <c r="B48" s="48" t="s">
        <v>240</v>
      </c>
      <c r="C48" s="62">
        <f t="shared" si="8"/>
        <v>0.43536848105000003</v>
      </c>
      <c r="D48" s="62">
        <f t="shared" si="9"/>
        <v>1.90687279855</v>
      </c>
      <c r="E48" s="82">
        <v>0.89453150000000003</v>
      </c>
      <c r="F48" s="52" t="s">
        <v>245</v>
      </c>
      <c r="G48" s="301" t="s">
        <v>246</v>
      </c>
      <c r="I48" s="304"/>
      <c r="J48" s="304"/>
      <c r="K48" s="304"/>
    </row>
    <row r="49" spans="2:22" s="16" customFormat="1">
      <c r="B49" s="48" t="s">
        <v>241</v>
      </c>
      <c r="C49" s="62">
        <f t="shared" si="8"/>
        <v>1.4292140180000003E-6</v>
      </c>
      <c r="D49" s="62">
        <f t="shared" si="9"/>
        <v>6.2598223180000005E-6</v>
      </c>
      <c r="E49" s="82">
        <v>2.9365400000000004E-6</v>
      </c>
      <c r="F49" s="52" t="s">
        <v>245</v>
      </c>
      <c r="G49" s="301" t="s">
        <v>246</v>
      </c>
      <c r="I49" s="304"/>
      <c r="J49" s="304"/>
      <c r="K49" s="304"/>
    </row>
    <row r="50" spans="2:22" s="16" customFormat="1">
      <c r="B50" s="48" t="s">
        <v>242</v>
      </c>
      <c r="C50" s="62">
        <f t="shared" si="8"/>
        <v>5.4224682764999999E-4</v>
      </c>
      <c r="D50" s="62">
        <f t="shared" si="9"/>
        <v>2.3749898551499995E-3</v>
      </c>
      <c r="E50" s="82">
        <v>1.1141294999999999E-3</v>
      </c>
      <c r="F50" s="52" t="s">
        <v>245</v>
      </c>
      <c r="G50" s="301" t="s">
        <v>246</v>
      </c>
      <c r="I50" s="304"/>
      <c r="J50" s="304"/>
      <c r="K50" s="304"/>
    </row>
    <row r="51" spans="2:22" s="16" customFormat="1">
      <c r="B51" s="48" t="s">
        <v>243</v>
      </c>
      <c r="C51" s="62">
        <f t="shared" si="8"/>
        <v>3.789380495500001E-3</v>
      </c>
      <c r="D51" s="62">
        <f t="shared" si="9"/>
        <v>1.6597128420500002E-2</v>
      </c>
      <c r="E51" s="82">
        <v>7.7858650000000012E-3</v>
      </c>
      <c r="F51" s="52" t="s">
        <v>245</v>
      </c>
      <c r="G51" s="301" t="s">
        <v>246</v>
      </c>
      <c r="I51" s="304"/>
      <c r="J51" s="304"/>
      <c r="K51" s="304"/>
    </row>
    <row r="52" spans="2:22" s="16" customFormat="1">
      <c r="B52" s="48" t="s">
        <v>244</v>
      </c>
      <c r="C52" s="62">
        <f t="shared" si="8"/>
        <v>0.184946</v>
      </c>
      <c r="D52" s="62">
        <f t="shared" si="9"/>
        <v>0.81004599999999993</v>
      </c>
      <c r="E52" s="82">
        <v>0.38</v>
      </c>
      <c r="F52" s="52" t="s">
        <v>245</v>
      </c>
      <c r="G52" s="301" t="s">
        <v>246</v>
      </c>
      <c r="I52" s="304"/>
      <c r="J52" s="304"/>
      <c r="K52" s="304"/>
    </row>
    <row r="53" spans="2:22" ht="26.25" customHeight="1" thickBot="1">
      <c r="B53" s="83"/>
      <c r="C53" s="84"/>
      <c r="D53" s="84"/>
      <c r="E53" s="84"/>
      <c r="F53" s="84"/>
      <c r="G53" s="303"/>
    </row>
    <row r="54" spans="2:22" ht="6" customHeight="1">
      <c r="B54" s="311"/>
      <c r="C54" s="311"/>
      <c r="D54" s="311"/>
      <c r="E54" s="311"/>
      <c r="F54" s="311"/>
      <c r="G54" s="312"/>
    </row>
    <row r="55" spans="2:22" s="11" customFormat="1">
      <c r="B55" s="316" t="s">
        <v>247</v>
      </c>
      <c r="C55" s="316"/>
      <c r="D55" s="316"/>
      <c r="E55" s="317"/>
      <c r="F55" s="316"/>
      <c r="G55" s="318"/>
      <c r="I55" s="306"/>
      <c r="J55" s="306"/>
      <c r="K55" s="306"/>
    </row>
    <row r="56" spans="2:22" s="18" customFormat="1" ht="6" customHeight="1" thickBot="1">
      <c r="D56" s="27"/>
      <c r="E56" s="25"/>
      <c r="F56" s="25"/>
      <c r="G56" s="21"/>
      <c r="I56" s="307"/>
      <c r="J56" s="307"/>
      <c r="K56" s="307"/>
    </row>
    <row r="57" spans="2:22" s="18" customFormat="1" ht="6" customHeight="1">
      <c r="B57" s="28"/>
      <c r="C57" s="29"/>
      <c r="D57" s="30"/>
      <c r="E57" s="31"/>
      <c r="F57" s="31"/>
      <c r="G57" s="298"/>
      <c r="I57" s="307"/>
      <c r="J57" s="307"/>
      <c r="K57" s="307"/>
    </row>
    <row r="58" spans="2:22" s="37" customFormat="1" ht="38.25">
      <c r="B58" s="33" t="s">
        <v>32</v>
      </c>
      <c r="C58" s="34" t="s">
        <v>140</v>
      </c>
      <c r="D58" s="34" t="s">
        <v>141</v>
      </c>
      <c r="E58" s="34" t="s">
        <v>139</v>
      </c>
      <c r="F58" s="34" t="s">
        <v>35</v>
      </c>
      <c r="G58" s="35" t="s">
        <v>36</v>
      </c>
      <c r="I58" s="787"/>
      <c r="J58" s="787"/>
      <c r="K58" s="787"/>
    </row>
    <row r="59" spans="2:22" s="18" customFormat="1" ht="6" customHeight="1" thickBot="1">
      <c r="B59" s="38"/>
      <c r="C59" s="39"/>
      <c r="D59" s="40"/>
      <c r="E59" s="41"/>
      <c r="F59" s="41"/>
      <c r="G59" s="299"/>
      <c r="I59" s="307"/>
      <c r="J59" s="307"/>
      <c r="K59" s="307"/>
    </row>
    <row r="60" spans="2:22" s="18" customFormat="1" ht="6" customHeight="1">
      <c r="B60" s="28"/>
      <c r="C60" s="29"/>
      <c r="D60" s="30"/>
      <c r="E60" s="31"/>
      <c r="F60" s="31"/>
      <c r="G60" s="298"/>
      <c r="I60" s="307"/>
      <c r="J60" s="307"/>
      <c r="K60" s="307"/>
    </row>
    <row r="61" spans="2:22" s="16" customFormat="1">
      <c r="B61" s="43" t="s">
        <v>37</v>
      </c>
      <c r="C61" s="44"/>
      <c r="D61" s="45"/>
      <c r="E61" s="46"/>
      <c r="F61" s="46"/>
      <c r="G61" s="300"/>
      <c r="I61" s="309"/>
      <c r="J61" s="309"/>
      <c r="K61" s="309"/>
    </row>
    <row r="62" spans="2:22" s="160" customFormat="1" ht="15" customHeight="1">
      <c r="B62" s="48" t="s">
        <v>228</v>
      </c>
      <c r="C62" s="49">
        <f>D62*2000/$C$12</f>
        <v>5.4076610857432765</v>
      </c>
      <c r="D62" s="50">
        <f>D29/90%*10%</f>
        <v>23.685555555555553</v>
      </c>
      <c r="E62" s="577" t="s">
        <v>21</v>
      </c>
      <c r="F62" s="577" t="s">
        <v>21</v>
      </c>
      <c r="G62" s="302" t="s">
        <v>652</v>
      </c>
      <c r="H62" s="791" t="s">
        <v>797</v>
      </c>
      <c r="I62" s="792"/>
      <c r="J62" s="792"/>
      <c r="K62" s="792"/>
      <c r="L62" s="792"/>
      <c r="M62" s="792"/>
      <c r="N62" s="792"/>
      <c r="O62" s="792"/>
      <c r="P62" s="792"/>
      <c r="Q62" s="792"/>
      <c r="R62" s="792"/>
      <c r="S62" s="792"/>
      <c r="T62" s="792"/>
      <c r="U62" s="792"/>
      <c r="V62" s="792"/>
    </row>
    <row r="63" spans="2:22" s="160" customFormat="1" ht="15" customHeight="1">
      <c r="B63" s="48" t="s">
        <v>229</v>
      </c>
      <c r="C63" s="49">
        <f t="shared" ref="C63:C64" si="10">D63*2000/$C$12</f>
        <v>5.4076610857432765</v>
      </c>
      <c r="D63" s="50">
        <f t="shared" ref="D63:D70" si="11">D30/90%*10%</f>
        <v>23.685555555555553</v>
      </c>
      <c r="E63" s="577" t="s">
        <v>21</v>
      </c>
      <c r="F63" s="577" t="s">
        <v>21</v>
      </c>
      <c r="G63" s="302" t="s">
        <v>652</v>
      </c>
      <c r="H63" s="793"/>
      <c r="I63" s="792"/>
      <c r="J63" s="792"/>
      <c r="K63" s="792"/>
      <c r="L63" s="792"/>
      <c r="M63" s="792"/>
      <c r="N63" s="792"/>
      <c r="O63" s="792"/>
      <c r="P63" s="792"/>
      <c r="Q63" s="792"/>
      <c r="R63" s="792"/>
      <c r="S63" s="792"/>
      <c r="T63" s="792"/>
      <c r="U63" s="792"/>
      <c r="V63" s="792"/>
    </row>
    <row r="64" spans="2:22" s="160" customFormat="1" ht="15" customHeight="1">
      <c r="B64" s="48" t="s">
        <v>230</v>
      </c>
      <c r="C64" s="49">
        <f t="shared" si="10"/>
        <v>5.4076610857432765</v>
      </c>
      <c r="D64" s="50">
        <f t="shared" si="11"/>
        <v>23.685555555555553</v>
      </c>
      <c r="E64" s="577" t="s">
        <v>21</v>
      </c>
      <c r="F64" s="577" t="s">
        <v>21</v>
      </c>
      <c r="G64" s="302" t="s">
        <v>652</v>
      </c>
      <c r="H64" s="793"/>
      <c r="I64" s="792"/>
      <c r="J64" s="792"/>
      <c r="K64" s="792"/>
      <c r="L64" s="792"/>
      <c r="M64" s="792"/>
      <c r="N64" s="792"/>
      <c r="O64" s="792"/>
      <c r="P64" s="792"/>
      <c r="Q64" s="792"/>
      <c r="R64" s="792"/>
      <c r="S64" s="792"/>
      <c r="T64" s="792"/>
      <c r="U64" s="792"/>
      <c r="V64" s="792"/>
    </row>
    <row r="65" spans="2:11" s="160" customFormat="1" ht="15" customHeight="1">
      <c r="B65" s="48" t="s">
        <v>227</v>
      </c>
      <c r="C65" s="49">
        <f t="shared" ref="C65" si="12">D65*2000/$C$12</f>
        <v>0.20414517403225055</v>
      </c>
      <c r="D65" s="50">
        <f t="shared" si="11"/>
        <v>0.89415586226125743</v>
      </c>
      <c r="E65" s="577" t="s">
        <v>21</v>
      </c>
      <c r="F65" s="577" t="s">
        <v>21</v>
      </c>
      <c r="G65" s="302" t="s">
        <v>652</v>
      </c>
      <c r="I65" s="310"/>
      <c r="J65" s="310"/>
      <c r="K65" s="310"/>
    </row>
    <row r="66" spans="2:11" s="160" customFormat="1" ht="15" customHeight="1">
      <c r="B66" s="48" t="s">
        <v>148</v>
      </c>
      <c r="C66" s="49">
        <f t="shared" ref="C66:C70" si="13">D66*2000/$C$12</f>
        <v>9.7262883963009431E-2</v>
      </c>
      <c r="D66" s="50">
        <f t="shared" si="11"/>
        <v>0.42601143175798128</v>
      </c>
      <c r="E66" s="577" t="s">
        <v>21</v>
      </c>
      <c r="F66" s="577" t="s">
        <v>21</v>
      </c>
      <c r="G66" s="302" t="s">
        <v>652</v>
      </c>
      <c r="I66" s="310"/>
      <c r="J66" s="310"/>
      <c r="K66" s="310"/>
    </row>
    <row r="67" spans="2:11" s="160" customFormat="1" ht="15" customHeight="1">
      <c r="B67" s="48" t="s">
        <v>40</v>
      </c>
      <c r="C67" s="49">
        <f t="shared" si="13"/>
        <v>19.736883684186068</v>
      </c>
      <c r="D67" s="50">
        <f t="shared" si="11"/>
        <v>86.44755053673498</v>
      </c>
      <c r="E67" s="577" t="s">
        <v>21</v>
      </c>
      <c r="F67" s="577" t="s">
        <v>21</v>
      </c>
      <c r="G67" s="302" t="s">
        <v>652</v>
      </c>
      <c r="I67" s="310"/>
      <c r="J67" s="310"/>
      <c r="K67" s="310"/>
    </row>
    <row r="68" spans="2:11" s="160" customFormat="1" ht="15" customHeight="1">
      <c r="B68" s="48" t="s">
        <v>149</v>
      </c>
      <c r="C68" s="49">
        <v>5.25</v>
      </c>
      <c r="D68" s="50">
        <f>C68*C12/2000</f>
        <v>22.995000000000001</v>
      </c>
      <c r="E68" s="577" t="s">
        <v>21</v>
      </c>
      <c r="F68" s="577" t="s">
        <v>21</v>
      </c>
      <c r="G68" s="301" t="s">
        <v>749</v>
      </c>
      <c r="I68" s="310"/>
      <c r="J68" s="310"/>
      <c r="K68" s="310"/>
    </row>
    <row r="69" spans="2:11" s="160" customFormat="1" ht="15" customHeight="1">
      <c r="B69" s="48" t="s">
        <v>65</v>
      </c>
      <c r="C69" s="49">
        <f t="shared" si="13"/>
        <v>0.37427585757989973</v>
      </c>
      <c r="D69" s="50">
        <f t="shared" si="11"/>
        <v>1.6393282561999609</v>
      </c>
      <c r="E69" s="577" t="s">
        <v>21</v>
      </c>
      <c r="F69" s="577" t="s">
        <v>21</v>
      </c>
      <c r="G69" s="302" t="s">
        <v>652</v>
      </c>
      <c r="I69" s="310"/>
      <c r="J69" s="310"/>
      <c r="K69" s="310"/>
    </row>
    <row r="70" spans="2:11" s="160" customFormat="1" ht="15" customHeight="1">
      <c r="B70" s="48" t="s">
        <v>267</v>
      </c>
      <c r="C70" s="49">
        <f t="shared" si="13"/>
        <v>5.151726381337423E-2</v>
      </c>
      <c r="D70" s="50">
        <f t="shared" si="11"/>
        <v>0.22564561550257911</v>
      </c>
      <c r="E70" s="577" t="s">
        <v>21</v>
      </c>
      <c r="F70" s="577" t="s">
        <v>21</v>
      </c>
      <c r="G70" s="302" t="s">
        <v>652</v>
      </c>
      <c r="I70" s="310"/>
      <c r="J70" s="310"/>
      <c r="K70" s="310"/>
    </row>
    <row r="71" spans="2:11" s="16" customFormat="1" ht="6.75" customHeight="1">
      <c r="B71" s="48"/>
      <c r="C71" s="49"/>
      <c r="D71" s="50"/>
      <c r="E71" s="80"/>
      <c r="F71" s="52"/>
      <c r="G71" s="301"/>
      <c r="I71" s="304"/>
      <c r="J71" s="304"/>
      <c r="K71" s="304"/>
    </row>
    <row r="72" spans="2:11" s="16" customFormat="1">
      <c r="B72" s="43" t="s">
        <v>41</v>
      </c>
      <c r="C72" s="49"/>
      <c r="D72" s="50"/>
      <c r="E72" s="80"/>
      <c r="F72" s="52"/>
      <c r="G72" s="301"/>
      <c r="I72" s="304"/>
      <c r="J72" s="304"/>
      <c r="K72" s="304"/>
    </row>
    <row r="73" spans="2:11" s="16" customFormat="1">
      <c r="B73" s="58" t="s">
        <v>86</v>
      </c>
      <c r="C73" s="49"/>
      <c r="D73" s="50"/>
      <c r="E73" s="80"/>
      <c r="F73" s="52"/>
      <c r="G73" s="301"/>
      <c r="I73" s="304"/>
      <c r="J73" s="304"/>
      <c r="K73" s="304"/>
    </row>
    <row r="74" spans="2:11" s="16" customFormat="1">
      <c r="B74" s="48" t="s">
        <v>234</v>
      </c>
      <c r="C74" s="62">
        <f>$C$62*E74%</f>
        <v>6.646988853373921E-5</v>
      </c>
      <c r="D74" s="62">
        <f>$D$62*E74%</f>
        <v>2.9113811177777777E-4</v>
      </c>
      <c r="E74" s="82">
        <v>1.2291800000000001E-3</v>
      </c>
      <c r="F74" s="52" t="s">
        <v>245</v>
      </c>
      <c r="G74" s="301" t="s">
        <v>246</v>
      </c>
      <c r="I74" s="304"/>
      <c r="J74" s="304"/>
      <c r="K74" s="304"/>
    </row>
    <row r="75" spans="2:11" s="16" customFormat="1">
      <c r="B75" s="48" t="s">
        <v>235</v>
      </c>
      <c r="C75" s="62">
        <f t="shared" ref="C75:C85" si="14">$C$62*E75%</f>
        <v>6.5651574219939083E-6</v>
      </c>
      <c r="D75" s="62">
        <f t="shared" ref="D75:D85" si="15">$D$62*E75%</f>
        <v>2.8755389508333321E-5</v>
      </c>
      <c r="E75" s="82">
        <v>1.2140474999999998E-4</v>
      </c>
      <c r="F75" s="52" t="s">
        <v>245</v>
      </c>
      <c r="G75" s="301" t="s">
        <v>246</v>
      </c>
      <c r="I75" s="304"/>
      <c r="J75" s="304"/>
      <c r="K75" s="304"/>
    </row>
    <row r="76" spans="2:11" s="16" customFormat="1">
      <c r="B76" s="48" t="s">
        <v>236</v>
      </c>
      <c r="C76" s="62">
        <f t="shared" si="14"/>
        <v>6.7696481259512912E-6</v>
      </c>
      <c r="D76" s="62">
        <f t="shared" si="15"/>
        <v>2.9651058791666655E-5</v>
      </c>
      <c r="E76" s="82">
        <v>1.2518624999999998E-4</v>
      </c>
      <c r="F76" s="52" t="s">
        <v>245</v>
      </c>
      <c r="G76" s="301" t="s">
        <v>246</v>
      </c>
      <c r="I76" s="304"/>
      <c r="J76" s="304"/>
      <c r="K76" s="304"/>
    </row>
    <row r="77" spans="2:11" s="16" customFormat="1">
      <c r="B77" s="48" t="s">
        <v>237</v>
      </c>
      <c r="C77" s="62">
        <f t="shared" si="14"/>
        <v>2.4804427672501266E-5</v>
      </c>
      <c r="D77" s="62">
        <f t="shared" si="15"/>
        <v>1.0864339320555555E-4</v>
      </c>
      <c r="E77" s="82">
        <v>4.5869050000000005E-4</v>
      </c>
      <c r="F77" s="52" t="s">
        <v>245</v>
      </c>
      <c r="G77" s="301" t="s">
        <v>246</v>
      </c>
      <c r="I77" s="304"/>
      <c r="J77" s="304"/>
      <c r="K77" s="304"/>
    </row>
    <row r="78" spans="2:11" s="16" customFormat="1">
      <c r="B78" s="48" t="s">
        <v>238</v>
      </c>
      <c r="C78" s="62">
        <f t="shared" si="14"/>
        <v>7.2580004794520539E-4</v>
      </c>
      <c r="D78" s="62">
        <f t="shared" si="15"/>
        <v>3.1790042099999996E-3</v>
      </c>
      <c r="E78" s="82">
        <v>1.3421700000000002E-2</v>
      </c>
      <c r="F78" s="52" t="s">
        <v>245</v>
      </c>
      <c r="G78" s="301" t="s">
        <v>246</v>
      </c>
      <c r="I78" s="304"/>
      <c r="J78" s="304"/>
      <c r="K78" s="304"/>
    </row>
    <row r="79" spans="2:11" s="16" customFormat="1">
      <c r="B79" s="48" t="s">
        <v>239</v>
      </c>
      <c r="C79" s="62">
        <f t="shared" si="14"/>
        <v>3.5493453919330285E-5</v>
      </c>
      <c r="D79" s="62">
        <f t="shared" si="15"/>
        <v>1.5546132816666666E-4</v>
      </c>
      <c r="E79" s="82">
        <v>6.5635500000000007E-4</v>
      </c>
      <c r="F79" s="52" t="s">
        <v>245</v>
      </c>
      <c r="G79" s="301" t="s">
        <v>246</v>
      </c>
      <c r="I79" s="304"/>
      <c r="J79" s="304"/>
      <c r="K79" s="304"/>
    </row>
    <row r="80" spans="2:11" s="16" customFormat="1">
      <c r="B80" s="48" t="s">
        <v>91</v>
      </c>
      <c r="C80" s="62">
        <f t="shared" si="14"/>
        <v>3.1523771031202437E-4</v>
      </c>
      <c r="D80" s="62">
        <f t="shared" si="15"/>
        <v>1.3807411711666668E-3</v>
      </c>
      <c r="E80" s="82">
        <v>5.8294650000000016E-3</v>
      </c>
      <c r="F80" s="52" t="s">
        <v>245</v>
      </c>
      <c r="G80" s="301" t="s">
        <v>246</v>
      </c>
      <c r="I80" s="304"/>
      <c r="J80" s="304"/>
      <c r="K80" s="304"/>
    </row>
    <row r="81" spans="2:11" s="16" customFormat="1">
      <c r="B81" s="48" t="s">
        <v>240</v>
      </c>
      <c r="C81" s="62">
        <f t="shared" si="14"/>
        <v>4.8373231825215621E-2</v>
      </c>
      <c r="D81" s="62">
        <f t="shared" si="15"/>
        <v>0.21187475539444442</v>
      </c>
      <c r="E81" s="82">
        <v>0.89453150000000003</v>
      </c>
      <c r="F81" s="52" t="s">
        <v>245</v>
      </c>
      <c r="G81" s="301" t="s">
        <v>246</v>
      </c>
      <c r="I81" s="304"/>
      <c r="J81" s="304"/>
      <c r="K81" s="304"/>
    </row>
    <row r="82" spans="2:11" s="16" customFormat="1">
      <c r="B82" s="48" t="s">
        <v>241</v>
      </c>
      <c r="C82" s="62">
        <f t="shared" si="14"/>
        <v>1.5879813084728564E-7</v>
      </c>
      <c r="D82" s="62">
        <f t="shared" si="15"/>
        <v>6.9553581311111108E-7</v>
      </c>
      <c r="E82" s="82">
        <v>2.9365400000000004E-6</v>
      </c>
      <c r="F82" s="52" t="s">
        <v>245</v>
      </c>
      <c r="G82" s="301" t="s">
        <v>246</v>
      </c>
      <c r="I82" s="304"/>
      <c r="J82" s="304"/>
      <c r="K82" s="304"/>
    </row>
    <row r="83" spans="2:11" s="16" customFormat="1">
      <c r="B83" s="48" t="s">
        <v>242</v>
      </c>
      <c r="C83" s="62">
        <f t="shared" si="14"/>
        <v>6.0248347416286132E-5</v>
      </c>
      <c r="D83" s="62">
        <f t="shared" si="15"/>
        <v>2.638877616833333E-4</v>
      </c>
      <c r="E83" s="82">
        <v>1.1141294999999999E-3</v>
      </c>
      <c r="F83" s="52" t="s">
        <v>245</v>
      </c>
      <c r="G83" s="301" t="s">
        <v>246</v>
      </c>
      <c r="I83" s="304"/>
      <c r="J83" s="304"/>
      <c r="K83" s="304"/>
    </row>
    <row r="84" spans="2:11" s="16" customFormat="1">
      <c r="B84" s="48" t="s">
        <v>243</v>
      </c>
      <c r="C84" s="62">
        <f t="shared" si="14"/>
        <v>4.2103319179350585E-4</v>
      </c>
      <c r="D84" s="62">
        <f t="shared" si="15"/>
        <v>1.8441253800555557E-3</v>
      </c>
      <c r="E84" s="82">
        <v>7.7858650000000012E-3</v>
      </c>
      <c r="F84" s="52" t="s">
        <v>245</v>
      </c>
      <c r="G84" s="301" t="s">
        <v>246</v>
      </c>
      <c r="I84" s="304"/>
      <c r="J84" s="304"/>
      <c r="K84" s="304"/>
    </row>
    <row r="85" spans="2:11" s="16" customFormat="1">
      <c r="B85" s="48" t="s">
        <v>244</v>
      </c>
      <c r="C85" s="62">
        <f t="shared" si="14"/>
        <v>2.0549112125824449E-2</v>
      </c>
      <c r="D85" s="62">
        <f t="shared" si="15"/>
        <v>9.0005111111111105E-2</v>
      </c>
      <c r="E85" s="82">
        <v>0.38</v>
      </c>
      <c r="F85" s="52" t="s">
        <v>245</v>
      </c>
      <c r="G85" s="301" t="s">
        <v>246</v>
      </c>
      <c r="I85" s="304"/>
      <c r="J85" s="304"/>
      <c r="K85" s="304"/>
    </row>
    <row r="86" spans="2:11" ht="6" customHeight="1" thickBot="1">
      <c r="B86" s="83"/>
      <c r="C86" s="84"/>
      <c r="D86" s="84"/>
      <c r="E86" s="84"/>
      <c r="F86" s="84"/>
      <c r="G86" s="303"/>
    </row>
    <row r="87" spans="2:11" ht="6" customHeight="1">
      <c r="B87" s="315"/>
      <c r="C87" s="311"/>
      <c r="D87" s="311"/>
      <c r="E87" s="311"/>
      <c r="F87" s="311"/>
      <c r="G87" s="313"/>
    </row>
    <row r="88" spans="2:11" s="11" customFormat="1">
      <c r="B88" s="329" t="s">
        <v>251</v>
      </c>
      <c r="C88" s="329"/>
      <c r="D88" s="329"/>
      <c r="E88" s="330"/>
      <c r="F88" s="329"/>
      <c r="G88" s="331"/>
      <c r="I88" s="306"/>
      <c r="J88" s="306"/>
      <c r="K88" s="306"/>
    </row>
    <row r="89" spans="2:11" s="18" customFormat="1" ht="6" customHeight="1" thickBot="1">
      <c r="D89" s="27"/>
      <c r="E89" s="25"/>
      <c r="F89" s="25"/>
      <c r="G89" s="21"/>
      <c r="I89" s="307"/>
      <c r="J89" s="307"/>
      <c r="K89" s="307"/>
    </row>
    <row r="90" spans="2:11" s="18" customFormat="1" ht="6" customHeight="1">
      <c r="B90" s="28"/>
      <c r="C90" s="29"/>
      <c r="D90" s="30"/>
      <c r="E90" s="31"/>
      <c r="F90" s="31"/>
      <c r="G90" s="298"/>
      <c r="I90" s="307"/>
      <c r="J90" s="307"/>
      <c r="K90" s="307"/>
    </row>
    <row r="91" spans="2:11" s="37" customFormat="1" ht="38.25">
      <c r="B91" s="33" t="s">
        <v>32</v>
      </c>
      <c r="C91" s="34" t="s">
        <v>140</v>
      </c>
      <c r="D91" s="34" t="s">
        <v>141</v>
      </c>
      <c r="E91" s="34" t="s">
        <v>139</v>
      </c>
      <c r="F91" s="34" t="s">
        <v>35</v>
      </c>
      <c r="G91" s="35" t="s">
        <v>36</v>
      </c>
      <c r="I91" s="36"/>
      <c r="J91" s="36"/>
      <c r="K91" s="36"/>
    </row>
    <row r="92" spans="2:11" s="18" customFormat="1" ht="6" customHeight="1" thickBot="1">
      <c r="B92" s="38"/>
      <c r="C92" s="39"/>
      <c r="D92" s="40"/>
      <c r="E92" s="41"/>
      <c r="F92" s="41"/>
      <c r="G92" s="299"/>
      <c r="I92" s="307"/>
      <c r="J92" s="307"/>
      <c r="K92" s="307"/>
    </row>
    <row r="93" spans="2:11" s="18" customFormat="1" ht="6" customHeight="1">
      <c r="B93" s="28"/>
      <c r="C93" s="29"/>
      <c r="D93" s="30"/>
      <c r="E93" s="31"/>
      <c r="F93" s="31"/>
      <c r="G93" s="298"/>
      <c r="I93" s="307"/>
      <c r="J93" s="307"/>
      <c r="K93" s="307"/>
    </row>
    <row r="94" spans="2:11" s="16" customFormat="1">
      <c r="B94" s="43" t="s">
        <v>37</v>
      </c>
      <c r="C94" s="44"/>
      <c r="D94" s="45"/>
      <c r="E94" s="46"/>
      <c r="F94" s="46"/>
      <c r="G94" s="300"/>
      <c r="I94" s="304"/>
      <c r="J94" s="304"/>
      <c r="K94" s="304"/>
    </row>
    <row r="95" spans="2:11" s="16" customFormat="1">
      <c r="B95" s="48" t="s">
        <v>228</v>
      </c>
      <c r="C95" s="49">
        <f t="shared" ref="C95:C102" si="16">D95/$C$12*2000</f>
        <v>0.88048515981735143</v>
      </c>
      <c r="D95" s="50">
        <f>E95*$C$17/2000</f>
        <v>3.8565249999999991</v>
      </c>
      <c r="E95" s="321">
        <f>1.9*(1+'Key Inputs'!$G$2)</f>
        <v>2.1849999999999996</v>
      </c>
      <c r="F95" s="52" t="s">
        <v>39</v>
      </c>
      <c r="G95" s="314" t="s">
        <v>142</v>
      </c>
      <c r="I95" s="304"/>
      <c r="J95" s="304"/>
      <c r="K95" s="304"/>
    </row>
    <row r="96" spans="2:11" s="16" customFormat="1" ht="14.25">
      <c r="B96" s="48" t="s">
        <v>229</v>
      </c>
      <c r="C96" s="49">
        <f t="shared" si="16"/>
        <v>0.88048515981735143</v>
      </c>
      <c r="D96" s="50">
        <f t="shared" ref="D96:D102" si="17">E96*$C$17/2000</f>
        <v>3.8565249999999991</v>
      </c>
      <c r="E96" s="321">
        <f>1.9*(1+'Key Inputs'!$G$2)</f>
        <v>2.1849999999999996</v>
      </c>
      <c r="F96" s="52" t="s">
        <v>39</v>
      </c>
      <c r="G96" s="314" t="s">
        <v>142</v>
      </c>
      <c r="I96" s="304"/>
      <c r="J96" s="304"/>
      <c r="K96" s="304"/>
    </row>
    <row r="97" spans="2:11" s="16" customFormat="1" ht="14.25">
      <c r="B97" s="48" t="s">
        <v>230</v>
      </c>
      <c r="C97" s="49">
        <f t="shared" si="16"/>
        <v>0.88048515981735143</v>
      </c>
      <c r="D97" s="50">
        <f t="shared" si="17"/>
        <v>3.8565249999999991</v>
      </c>
      <c r="E97" s="321">
        <f>1.9*(1+'Key Inputs'!$G$2)</f>
        <v>2.1849999999999996</v>
      </c>
      <c r="F97" s="52" t="s">
        <v>39</v>
      </c>
      <c r="G97" s="314" t="s">
        <v>142</v>
      </c>
      <c r="I97" s="304"/>
      <c r="J97" s="304"/>
      <c r="K97" s="304"/>
    </row>
    <row r="98" spans="2:11" s="160" customFormat="1" ht="15" customHeight="1">
      <c r="B98" s="48" t="s">
        <v>227</v>
      </c>
      <c r="C98" s="49">
        <f t="shared" ref="C98" si="18">D98/$C$12*2000</f>
        <v>2.6414554794520546</v>
      </c>
      <c r="D98" s="50">
        <f t="shared" si="17"/>
        <v>11.569574999999999</v>
      </c>
      <c r="E98" s="321">
        <f>5.7*(1+'Key Inputs'!$G$2)</f>
        <v>6.5549999999999997</v>
      </c>
      <c r="F98" s="52" t="s">
        <v>39</v>
      </c>
      <c r="G98" s="314" t="s">
        <v>260</v>
      </c>
      <c r="I98" s="310"/>
      <c r="J98" s="310"/>
      <c r="K98" s="310"/>
    </row>
    <row r="99" spans="2:11" s="16" customFormat="1" ht="14.25">
      <c r="B99" s="48" t="s">
        <v>148</v>
      </c>
      <c r="C99" s="49">
        <f t="shared" si="16"/>
        <v>46.341324200913235</v>
      </c>
      <c r="D99" s="50">
        <f t="shared" si="17"/>
        <v>202.97499999999997</v>
      </c>
      <c r="E99" s="322">
        <f>100*(1+'Key Inputs'!$G$2)</f>
        <v>114.99999999999999</v>
      </c>
      <c r="F99" s="52" t="s">
        <v>39</v>
      </c>
      <c r="G99" s="301" t="s">
        <v>129</v>
      </c>
      <c r="I99" s="304"/>
      <c r="J99" s="304"/>
      <c r="K99" s="304"/>
    </row>
    <row r="100" spans="2:11" s="16" customFormat="1">
      <c r="B100" s="48" t="s">
        <v>65</v>
      </c>
      <c r="C100" s="49">
        <f t="shared" si="16"/>
        <v>2.5487728310502278</v>
      </c>
      <c r="D100" s="50">
        <f t="shared" si="17"/>
        <v>11.163624999999998</v>
      </c>
      <c r="E100" s="321">
        <f>5.5*(1+'Key Inputs'!$G$2)</f>
        <v>6.3249999999999993</v>
      </c>
      <c r="F100" s="52" t="s">
        <v>39</v>
      </c>
      <c r="G100" s="301" t="s">
        <v>126</v>
      </c>
      <c r="I100" s="304"/>
      <c r="J100" s="304"/>
      <c r="K100" s="304"/>
    </row>
    <row r="101" spans="2:11" s="16" customFormat="1" ht="14.25">
      <c r="B101" s="48" t="s">
        <v>149</v>
      </c>
      <c r="C101" s="49">
        <f t="shared" si="16"/>
        <v>0.27804794520547943</v>
      </c>
      <c r="D101" s="50">
        <f t="shared" si="17"/>
        <v>1.2178499999999999</v>
      </c>
      <c r="E101" s="321">
        <f>0.6*(1+'Key Inputs'!$G$2)</f>
        <v>0.69</v>
      </c>
      <c r="F101" s="52" t="s">
        <v>39</v>
      </c>
      <c r="G101" s="301" t="s">
        <v>126</v>
      </c>
      <c r="I101" s="304"/>
      <c r="J101" s="304"/>
      <c r="K101" s="304"/>
    </row>
    <row r="102" spans="2:11" s="16" customFormat="1">
      <c r="B102" s="48" t="s">
        <v>40</v>
      </c>
      <c r="C102" s="49">
        <f t="shared" si="16"/>
        <v>38.926712328767117</v>
      </c>
      <c r="D102" s="50">
        <f t="shared" si="17"/>
        <v>170.499</v>
      </c>
      <c r="E102" s="322">
        <f>84*(1+'Key Inputs'!$G$2)</f>
        <v>96.6</v>
      </c>
      <c r="F102" s="52" t="s">
        <v>39</v>
      </c>
      <c r="G102" s="301" t="s">
        <v>129</v>
      </c>
      <c r="I102" s="304"/>
      <c r="J102" s="304"/>
      <c r="K102" s="304"/>
    </row>
    <row r="103" spans="2:11" s="16" customFormat="1" ht="13.5" customHeight="1">
      <c r="B103" s="48"/>
      <c r="C103" s="53"/>
      <c r="D103" s="54"/>
      <c r="E103" s="55"/>
      <c r="F103" s="46"/>
      <c r="G103" s="300"/>
      <c r="I103" s="304"/>
      <c r="J103" s="304"/>
      <c r="K103" s="304"/>
    </row>
    <row r="104" spans="2:11" s="16" customFormat="1">
      <c r="B104" s="43" t="s">
        <v>41</v>
      </c>
      <c r="C104" s="44"/>
      <c r="D104" s="54"/>
      <c r="E104" s="56"/>
      <c r="F104" s="57"/>
      <c r="G104" s="300"/>
      <c r="I104" s="304"/>
      <c r="J104" s="304"/>
      <c r="K104" s="304"/>
    </row>
    <row r="105" spans="2:11" s="16" customFormat="1" ht="31.5" customHeight="1">
      <c r="B105" s="58" t="s">
        <v>42</v>
      </c>
      <c r="C105" s="59"/>
      <c r="D105" s="54"/>
      <c r="E105" s="50"/>
      <c r="F105" s="60"/>
      <c r="G105" s="300"/>
      <c r="I105" s="304"/>
      <c r="J105" s="304"/>
      <c r="K105" s="304"/>
    </row>
    <row r="106" spans="2:11" s="16" customFormat="1" ht="13.5" customHeight="1">
      <c r="B106" s="61" t="s">
        <v>66</v>
      </c>
      <c r="C106" s="62">
        <f t="shared" ref="C106:C129" si="19">D106/$C$12*2000</f>
        <v>1.1121917808219178E-5</v>
      </c>
      <c r="D106" s="63">
        <f>E106*$C$17/2000</f>
        <v>4.8714000000000001E-5</v>
      </c>
      <c r="E106" s="326">
        <f>0.000024*(1+'Key Inputs'!$G$2)</f>
        <v>2.76E-5</v>
      </c>
      <c r="F106" s="46" t="s">
        <v>39</v>
      </c>
      <c r="G106" s="300" t="s">
        <v>128</v>
      </c>
      <c r="I106" s="304"/>
      <c r="J106" s="304"/>
      <c r="K106" s="304"/>
    </row>
    <row r="107" spans="2:11" s="16" customFormat="1" ht="15" customHeight="1">
      <c r="B107" s="61" t="s">
        <v>67</v>
      </c>
      <c r="C107" s="62">
        <f t="shared" si="19"/>
        <v>8.3414383561643825E-7</v>
      </c>
      <c r="D107" s="63">
        <f t="shared" ref="D107:D129" si="20">E107*$C$17/2000</f>
        <v>3.6535499999999995E-6</v>
      </c>
      <c r="E107" s="326">
        <f>0.0000018*(1+'Key Inputs'!$G$2)</f>
        <v>2.0699999999999997E-6</v>
      </c>
      <c r="F107" s="46" t="s">
        <v>39</v>
      </c>
      <c r="G107" s="300" t="s">
        <v>128</v>
      </c>
      <c r="I107" s="304"/>
      <c r="J107" s="304"/>
      <c r="K107" s="304"/>
    </row>
    <row r="108" spans="2:11" s="16" customFormat="1" ht="15" customHeight="1">
      <c r="B108" s="61" t="s">
        <v>68</v>
      </c>
      <c r="C108" s="62">
        <f t="shared" si="19"/>
        <v>7.4146118721461166E-6</v>
      </c>
      <c r="D108" s="63">
        <f t="shared" si="20"/>
        <v>3.2475999999999992E-5</v>
      </c>
      <c r="E108" s="326">
        <f>0.000016*(1+'Key Inputs'!$G$2)</f>
        <v>1.8399999999999997E-5</v>
      </c>
      <c r="F108" s="46" t="s">
        <v>39</v>
      </c>
      <c r="G108" s="300" t="s">
        <v>128</v>
      </c>
      <c r="I108" s="304"/>
      <c r="J108" s="304"/>
      <c r="K108" s="304"/>
    </row>
    <row r="109" spans="2:11" s="16" customFormat="1" ht="9" customHeight="1">
      <c r="B109" s="61" t="s">
        <v>108</v>
      </c>
      <c r="C109" s="62">
        <f t="shared" si="19"/>
        <v>8.3414383561643825E-7</v>
      </c>
      <c r="D109" s="63">
        <f t="shared" si="20"/>
        <v>3.6535499999999995E-6</v>
      </c>
      <c r="E109" s="326">
        <f>0.0000018*(1+'Key Inputs'!$G$2)</f>
        <v>2.0699999999999997E-6</v>
      </c>
      <c r="F109" s="46" t="s">
        <v>39</v>
      </c>
      <c r="G109" s="300" t="s">
        <v>128</v>
      </c>
      <c r="I109" s="304"/>
      <c r="J109" s="304"/>
      <c r="K109" s="304"/>
    </row>
    <row r="110" spans="2:11" s="16" customFormat="1" ht="14.25" customHeight="1">
      <c r="B110" s="61" t="s">
        <v>109</v>
      </c>
      <c r="C110" s="62">
        <f t="shared" si="19"/>
        <v>8.3414383561643825E-7</v>
      </c>
      <c r="D110" s="63">
        <f t="shared" si="20"/>
        <v>3.6535499999999995E-6</v>
      </c>
      <c r="E110" s="326">
        <f>0.0000018*(1+'Key Inputs'!$G$2)</f>
        <v>2.0699999999999997E-6</v>
      </c>
      <c r="F110" s="46" t="s">
        <v>39</v>
      </c>
      <c r="G110" s="300" t="s">
        <v>128</v>
      </c>
      <c r="I110" s="304"/>
      <c r="J110" s="304"/>
      <c r="K110" s="304"/>
    </row>
    <row r="111" spans="2:11" s="16" customFormat="1" ht="13.5" customHeight="1">
      <c r="B111" s="61" t="s">
        <v>69</v>
      </c>
      <c r="C111" s="62">
        <f t="shared" si="19"/>
        <v>1.1121917808219177E-6</v>
      </c>
      <c r="D111" s="63">
        <f t="shared" si="20"/>
        <v>4.8713999999999996E-6</v>
      </c>
      <c r="E111" s="326">
        <f>0.0000024*(1+'Key Inputs'!$G$2)</f>
        <v>2.7599999999999998E-6</v>
      </c>
      <c r="F111" s="46" t="s">
        <v>39</v>
      </c>
      <c r="G111" s="300" t="s">
        <v>128</v>
      </c>
      <c r="I111" s="304"/>
      <c r="J111" s="304"/>
      <c r="K111" s="304"/>
    </row>
    <row r="112" spans="2:11" s="16" customFormat="1" ht="40.5" customHeight="1">
      <c r="B112" s="61" t="s">
        <v>70</v>
      </c>
      <c r="C112" s="62">
        <f t="shared" si="19"/>
        <v>8.3414383561643825E-7</v>
      </c>
      <c r="D112" s="63">
        <f t="shared" si="20"/>
        <v>3.6535499999999995E-6</v>
      </c>
      <c r="E112" s="326">
        <f>0.0000018*(1+'Key Inputs'!$G$2)</f>
        <v>2.0699999999999997E-6</v>
      </c>
      <c r="F112" s="46" t="s">
        <v>39</v>
      </c>
      <c r="G112" s="300" t="s">
        <v>128</v>
      </c>
      <c r="I112" s="304"/>
      <c r="J112" s="304"/>
      <c r="K112" s="304"/>
    </row>
    <row r="113" spans="2:11" s="16" customFormat="1" ht="19.5" customHeight="1">
      <c r="B113" s="61" t="s">
        <v>43</v>
      </c>
      <c r="C113" s="62">
        <f t="shared" si="19"/>
        <v>9.7316780821917782E-4</v>
      </c>
      <c r="D113" s="63">
        <f t="shared" si="20"/>
        <v>4.2624749999999991E-3</v>
      </c>
      <c r="E113" s="326">
        <f>0.0021*(1+'Key Inputs'!$G$2)</f>
        <v>2.4149999999999996E-3</v>
      </c>
      <c r="F113" s="46" t="s">
        <v>39</v>
      </c>
      <c r="G113" s="300" t="s">
        <v>128</v>
      </c>
      <c r="I113" s="304"/>
      <c r="J113" s="304"/>
      <c r="K113" s="304"/>
    </row>
    <row r="114" spans="2:11" s="16" customFormat="1" ht="19.5" customHeight="1">
      <c r="B114" s="61" t="s">
        <v>71</v>
      </c>
      <c r="C114" s="62">
        <f t="shared" si="19"/>
        <v>5.5609589041095887E-7</v>
      </c>
      <c r="D114" s="63">
        <f t="shared" si="20"/>
        <v>2.4356999999999998E-6</v>
      </c>
      <c r="E114" s="326">
        <f>0.0000012*(1+'Key Inputs'!$G$2)</f>
        <v>1.3799999999999999E-6</v>
      </c>
      <c r="F114" s="46" t="s">
        <v>39</v>
      </c>
      <c r="G114" s="300" t="s">
        <v>128</v>
      </c>
      <c r="I114" s="304"/>
      <c r="J114" s="304"/>
      <c r="K114" s="304"/>
    </row>
    <row r="115" spans="2:11" s="16" customFormat="1" ht="18.75" customHeight="1">
      <c r="B115" s="61" t="s">
        <v>72</v>
      </c>
      <c r="C115" s="62">
        <f t="shared" si="19"/>
        <v>8.3414383561643825E-7</v>
      </c>
      <c r="D115" s="63">
        <f t="shared" si="20"/>
        <v>3.6535499999999995E-6</v>
      </c>
      <c r="E115" s="326">
        <f>0.0000018*(1+'Key Inputs'!$G$2)</f>
        <v>2.0699999999999997E-6</v>
      </c>
      <c r="F115" s="46" t="s">
        <v>39</v>
      </c>
      <c r="G115" s="300" t="s">
        <v>128</v>
      </c>
      <c r="I115" s="304"/>
      <c r="J115" s="304"/>
      <c r="K115" s="304"/>
    </row>
    <row r="116" spans="2:11" s="16" customFormat="1" ht="11.25" customHeight="1">
      <c r="B116" s="61" t="s">
        <v>73</v>
      </c>
      <c r="C116" s="62">
        <f t="shared" si="19"/>
        <v>5.5609589041095887E-7</v>
      </c>
      <c r="D116" s="63">
        <f t="shared" si="20"/>
        <v>2.4356999999999998E-6</v>
      </c>
      <c r="E116" s="326">
        <f>0.0000012*(1+'Key Inputs'!$G$2)</f>
        <v>1.3799999999999999E-6</v>
      </c>
      <c r="F116" s="46" t="s">
        <v>39</v>
      </c>
      <c r="G116" s="300" t="s">
        <v>128</v>
      </c>
      <c r="I116" s="304"/>
      <c r="J116" s="304"/>
      <c r="K116" s="304"/>
    </row>
    <row r="117" spans="2:11" s="16" customFormat="1" ht="12.75" customHeight="1">
      <c r="B117" s="61" t="s">
        <v>74</v>
      </c>
      <c r="C117" s="62">
        <f t="shared" si="19"/>
        <v>8.3414383561643825E-7</v>
      </c>
      <c r="D117" s="63">
        <f t="shared" si="20"/>
        <v>3.6535499999999995E-6</v>
      </c>
      <c r="E117" s="326">
        <f>0.0000018*(1+'Key Inputs'!$G$2)</f>
        <v>2.0699999999999997E-6</v>
      </c>
      <c r="F117" s="46" t="s">
        <v>39</v>
      </c>
      <c r="G117" s="300" t="s">
        <v>128</v>
      </c>
      <c r="I117" s="304"/>
      <c r="J117" s="304"/>
      <c r="K117" s="304"/>
    </row>
    <row r="118" spans="2:11" s="16" customFormat="1" ht="14.25" customHeight="1">
      <c r="B118" s="61" t="s">
        <v>75</v>
      </c>
      <c r="C118" s="62">
        <f t="shared" si="19"/>
        <v>8.3414383561643825E-7</v>
      </c>
      <c r="D118" s="63">
        <f t="shared" si="20"/>
        <v>3.6535499999999995E-6</v>
      </c>
      <c r="E118" s="326">
        <f>0.0000018*(1+'Key Inputs'!$G$2)</f>
        <v>2.0699999999999997E-6</v>
      </c>
      <c r="F118" s="46" t="s">
        <v>39</v>
      </c>
      <c r="G118" s="300" t="s">
        <v>128</v>
      </c>
      <c r="I118" s="304"/>
      <c r="J118" s="304"/>
      <c r="K118" s="304"/>
    </row>
    <row r="119" spans="2:11" s="16" customFormat="1" ht="23.25" customHeight="1">
      <c r="B119" s="61" t="s">
        <v>76</v>
      </c>
      <c r="C119" s="62">
        <f t="shared" si="19"/>
        <v>5.5609589041095887E-7</v>
      </c>
      <c r="D119" s="63">
        <f t="shared" si="20"/>
        <v>2.4356999999999998E-6</v>
      </c>
      <c r="E119" s="326">
        <f>0.0000012*(1+'Key Inputs'!$G$2)</f>
        <v>1.3799999999999999E-6</v>
      </c>
      <c r="F119" s="46" t="s">
        <v>39</v>
      </c>
      <c r="G119" s="300" t="s">
        <v>128</v>
      </c>
      <c r="I119" s="304"/>
      <c r="J119" s="304"/>
      <c r="K119" s="304"/>
    </row>
    <row r="120" spans="2:11" s="16" customFormat="1" ht="13.5" customHeight="1">
      <c r="B120" s="61" t="s">
        <v>77</v>
      </c>
      <c r="C120" s="62">
        <f t="shared" si="19"/>
        <v>5.5609589041095877E-4</v>
      </c>
      <c r="D120" s="63">
        <f t="shared" si="20"/>
        <v>2.4356999999999994E-3</v>
      </c>
      <c r="E120" s="326">
        <f>0.0012*(1+'Key Inputs'!$G$2)</f>
        <v>1.3799999999999997E-3</v>
      </c>
      <c r="F120" s="46" t="s">
        <v>39</v>
      </c>
      <c r="G120" s="300" t="s">
        <v>128</v>
      </c>
      <c r="I120" s="304"/>
      <c r="J120" s="304"/>
      <c r="K120" s="304"/>
    </row>
    <row r="121" spans="2:11" s="16" customFormat="1" ht="11.25" customHeight="1">
      <c r="B121" s="61" t="s">
        <v>78</v>
      </c>
      <c r="C121" s="62">
        <f t="shared" si="19"/>
        <v>1.3902397260273972E-6</v>
      </c>
      <c r="D121" s="63">
        <f t="shared" si="20"/>
        <v>6.0892500000000002E-6</v>
      </c>
      <c r="E121" s="326">
        <f>0.000003*(1+'Key Inputs'!$G$2)</f>
        <v>3.45E-6</v>
      </c>
      <c r="F121" s="46" t="s">
        <v>39</v>
      </c>
      <c r="G121" s="300" t="s">
        <v>128</v>
      </c>
      <c r="I121" s="304"/>
      <c r="J121" s="304"/>
      <c r="K121" s="304"/>
    </row>
    <row r="122" spans="2:11" s="16" customFormat="1" ht="16.5" customHeight="1">
      <c r="B122" s="61" t="s">
        <v>79</v>
      </c>
      <c r="C122" s="62">
        <f t="shared" si="19"/>
        <v>1.2975570776255706E-6</v>
      </c>
      <c r="D122" s="63">
        <f t="shared" si="20"/>
        <v>5.6832999999999994E-6</v>
      </c>
      <c r="E122" s="326">
        <f>0.0000028*(1+'Key Inputs'!$G$2)</f>
        <v>3.2199999999999997E-6</v>
      </c>
      <c r="F122" s="46" t="s">
        <v>39</v>
      </c>
      <c r="G122" s="300" t="s">
        <v>128</v>
      </c>
      <c r="I122" s="304"/>
      <c r="J122" s="304"/>
      <c r="K122" s="304"/>
    </row>
    <row r="123" spans="2:11" s="16" customFormat="1" ht="24" customHeight="1">
      <c r="B123" s="61" t="s">
        <v>106</v>
      </c>
      <c r="C123" s="62">
        <f t="shared" si="19"/>
        <v>3.4755993150684929E-2</v>
      </c>
      <c r="D123" s="63">
        <f t="shared" si="20"/>
        <v>0.15223124999999998</v>
      </c>
      <c r="E123" s="326">
        <f>0.075*(1+'Key Inputs'!$G$2)</f>
        <v>8.6249999999999993E-2</v>
      </c>
      <c r="F123" s="46" t="s">
        <v>39</v>
      </c>
      <c r="G123" s="300" t="s">
        <v>128</v>
      </c>
      <c r="I123" s="304"/>
      <c r="J123" s="304"/>
      <c r="K123" s="304"/>
    </row>
    <row r="124" spans="2:11" s="16" customFormat="1">
      <c r="B124" s="61" t="s">
        <v>80</v>
      </c>
      <c r="C124" s="62">
        <f t="shared" si="19"/>
        <v>0.83414383561643834</v>
      </c>
      <c r="D124" s="63">
        <f t="shared" si="20"/>
        <v>3.6535499999999996</v>
      </c>
      <c r="E124" s="326">
        <f>1.8*(1+'Key Inputs'!$G$2)</f>
        <v>2.0699999999999998</v>
      </c>
      <c r="F124" s="46" t="s">
        <v>39</v>
      </c>
      <c r="G124" s="300" t="s">
        <v>128</v>
      </c>
      <c r="I124" s="304"/>
      <c r="J124" s="304"/>
      <c r="K124" s="304"/>
    </row>
    <row r="125" spans="2:11" s="16" customFormat="1" hidden="1">
      <c r="B125" s="61" t="s">
        <v>81</v>
      </c>
      <c r="C125" s="62">
        <f t="shared" si="19"/>
        <v>8.3414383561643825E-7</v>
      </c>
      <c r="D125" s="63">
        <f t="shared" si="20"/>
        <v>3.6535499999999995E-6</v>
      </c>
      <c r="E125" s="326">
        <f>0.0000018*(1+'Key Inputs'!G2)</f>
        <v>2.0699999999999997E-6</v>
      </c>
      <c r="F125" s="46" t="s">
        <v>39</v>
      </c>
      <c r="G125" s="300" t="s">
        <v>128</v>
      </c>
      <c r="I125" s="304"/>
      <c r="J125" s="304"/>
      <c r="K125" s="304"/>
    </row>
    <row r="126" spans="2:11" s="16" customFormat="1" hidden="1">
      <c r="B126" s="61" t="s">
        <v>82</v>
      </c>
      <c r="C126" s="62">
        <f t="shared" si="19"/>
        <v>2.8268207762557071E-4</v>
      </c>
      <c r="D126" s="63">
        <f t="shared" si="20"/>
        <v>1.2381474999999997E-3</v>
      </c>
      <c r="E126" s="326">
        <f>0.00061*(1+'Key Inputs'!G2)</f>
        <v>7.0149999999999987E-4</v>
      </c>
      <c r="F126" s="46" t="s">
        <v>39</v>
      </c>
      <c r="G126" s="300" t="s">
        <v>128</v>
      </c>
      <c r="I126" s="304"/>
      <c r="J126" s="304"/>
      <c r="K126" s="304"/>
    </row>
    <row r="127" spans="2:11" s="16" customFormat="1" hidden="1">
      <c r="B127" s="61" t="s">
        <v>83</v>
      </c>
      <c r="C127" s="62">
        <f t="shared" si="19"/>
        <v>7.8780251141552502E-6</v>
      </c>
      <c r="D127" s="63">
        <f t="shared" si="20"/>
        <v>3.4505749999999994E-5</v>
      </c>
      <c r="E127" s="326">
        <f>0.000017*(1+'Key Inputs'!G2)</f>
        <v>1.9549999999999997E-5</v>
      </c>
      <c r="F127" s="46" t="s">
        <v>39</v>
      </c>
      <c r="G127" s="300" t="s">
        <v>128</v>
      </c>
      <c r="I127" s="304"/>
      <c r="J127" s="304"/>
      <c r="K127" s="304"/>
    </row>
    <row r="128" spans="2:11" s="16" customFormat="1" hidden="1">
      <c r="B128" s="61" t="s">
        <v>84</v>
      </c>
      <c r="C128" s="62">
        <f t="shared" si="19"/>
        <v>2.3170662100456621E-6</v>
      </c>
      <c r="D128" s="63">
        <f t="shared" si="20"/>
        <v>1.014875E-5</v>
      </c>
      <c r="E128" s="326">
        <f>0.000005*(1+'Key Inputs'!G2)</f>
        <v>5.75E-6</v>
      </c>
      <c r="F128" s="46" t="s">
        <v>39</v>
      </c>
      <c r="G128" s="300" t="s">
        <v>128</v>
      </c>
      <c r="I128" s="304"/>
      <c r="J128" s="304"/>
      <c r="K128" s="304"/>
    </row>
    <row r="129" spans="2:11" s="16" customFormat="1" hidden="1">
      <c r="B129" s="61" t="s">
        <v>85</v>
      </c>
      <c r="C129" s="62">
        <f t="shared" si="19"/>
        <v>1.5756050228310499E-3</v>
      </c>
      <c r="D129" s="63">
        <f t="shared" si="20"/>
        <v>6.9011499999999983E-3</v>
      </c>
      <c r="E129" s="326">
        <f>0.0034*(1+'Key Inputs'!G2)</f>
        <v>3.9099999999999994E-3</v>
      </c>
      <c r="F129" s="46" t="s">
        <v>39</v>
      </c>
      <c r="G129" s="300" t="s">
        <v>128</v>
      </c>
      <c r="I129" s="304"/>
      <c r="J129" s="304"/>
      <c r="K129" s="304"/>
    </row>
    <row r="130" spans="2:11" s="16" customFormat="1">
      <c r="B130" s="58"/>
      <c r="C130" s="64"/>
      <c r="D130" s="65"/>
      <c r="E130" s="50"/>
      <c r="F130" s="60"/>
      <c r="G130" s="300"/>
      <c r="I130" s="304"/>
      <c r="J130" s="304"/>
      <c r="K130" s="304"/>
    </row>
    <row r="131" spans="2:11" s="16" customFormat="1">
      <c r="B131" s="58" t="s">
        <v>261</v>
      </c>
      <c r="C131" s="64"/>
      <c r="D131" s="65"/>
      <c r="E131" s="50"/>
      <c r="F131" s="60"/>
      <c r="G131" s="300"/>
      <c r="I131" s="304"/>
      <c r="J131" s="304"/>
      <c r="K131" s="304"/>
    </row>
    <row r="132" spans="2:11" s="16" customFormat="1" ht="16.5" customHeight="1">
      <c r="B132" s="61" t="s">
        <v>272</v>
      </c>
      <c r="C132" s="49">
        <f t="shared" ref="C132" si="21">D132/$C$12*2000</f>
        <v>1.2894977168949771</v>
      </c>
      <c r="D132" s="89">
        <f t="shared" ref="D132" si="22">E132*$C$17/2000</f>
        <v>5.6479999999999997</v>
      </c>
      <c r="E132" s="328">
        <f>3.2</f>
        <v>3.2</v>
      </c>
      <c r="F132" s="60" t="s">
        <v>39</v>
      </c>
      <c r="G132" s="300" t="s">
        <v>273</v>
      </c>
      <c r="I132" s="304"/>
      <c r="J132" s="304"/>
      <c r="K132" s="304"/>
    </row>
    <row r="133" spans="2:11" s="16" customFormat="1">
      <c r="B133" s="58"/>
      <c r="C133" s="64"/>
      <c r="D133" s="65"/>
      <c r="E133" s="50"/>
      <c r="F133" s="60"/>
      <c r="G133" s="300"/>
      <c r="I133" s="304"/>
      <c r="J133" s="304"/>
      <c r="K133" s="304"/>
    </row>
    <row r="134" spans="2:11" s="16" customFormat="1">
      <c r="B134" s="58" t="s">
        <v>86</v>
      </c>
      <c r="C134" s="64"/>
      <c r="D134" s="65"/>
      <c r="E134" s="50"/>
      <c r="F134" s="60"/>
      <c r="G134" s="300"/>
      <c r="I134" s="304"/>
      <c r="J134" s="304"/>
      <c r="K134" s="304"/>
    </row>
    <row r="135" spans="2:11" s="16" customFormat="1" hidden="1">
      <c r="B135" s="61" t="s">
        <v>87</v>
      </c>
      <c r="C135" s="62">
        <f t="shared" ref="C135:C144" si="23">D135/$C$12*2000</f>
        <v>9.2682648401826485E-5</v>
      </c>
      <c r="D135" s="63">
        <f>E135*$C$17/2000</f>
        <v>4.0594999999999997E-4</v>
      </c>
      <c r="E135" s="326">
        <f>0.0002*(1+'Key Inputs'!G2)</f>
        <v>2.2999999999999998E-4</v>
      </c>
      <c r="F135" s="46" t="s">
        <v>39</v>
      </c>
      <c r="G135" s="300" t="s">
        <v>127</v>
      </c>
      <c r="I135" s="304"/>
      <c r="J135" s="304"/>
      <c r="K135" s="304"/>
    </row>
    <row r="136" spans="2:11" s="16" customFormat="1" hidden="1">
      <c r="B136" s="61" t="s">
        <v>88</v>
      </c>
      <c r="C136" s="62">
        <f t="shared" si="23"/>
        <v>2.0390182648401829E-3</v>
      </c>
      <c r="D136" s="63">
        <f t="shared" ref="D136:D144" si="24">E136*$C$17/2000</f>
        <v>8.930900000000002E-3</v>
      </c>
      <c r="E136" s="326">
        <f>0.0044*(1+'Key Inputs'!G2)</f>
        <v>5.0600000000000003E-3</v>
      </c>
      <c r="F136" s="46" t="s">
        <v>39</v>
      </c>
      <c r="G136" s="300" t="s">
        <v>127</v>
      </c>
      <c r="I136" s="304"/>
      <c r="J136" s="304"/>
      <c r="K136" s="304"/>
    </row>
    <row r="137" spans="2:11" s="16" customFormat="1" hidden="1">
      <c r="B137" s="61" t="s">
        <v>11</v>
      </c>
      <c r="C137" s="62">
        <f t="shared" si="23"/>
        <v>5.0975456621004571E-4</v>
      </c>
      <c r="D137" s="63">
        <f t="shared" si="24"/>
        <v>2.2327250000000005E-3</v>
      </c>
      <c r="E137" s="326">
        <f>0.0011*(1+'Key Inputs'!G2)</f>
        <v>1.2650000000000001E-3</v>
      </c>
      <c r="F137" s="46" t="s">
        <v>39</v>
      </c>
      <c r="G137" s="300" t="s">
        <v>127</v>
      </c>
      <c r="I137" s="304"/>
      <c r="J137" s="304"/>
      <c r="K137" s="304"/>
    </row>
    <row r="138" spans="2:11" s="16" customFormat="1" hidden="1">
      <c r="B138" s="61" t="s">
        <v>89</v>
      </c>
      <c r="C138" s="62">
        <f t="shared" si="23"/>
        <v>6.4877853881278532E-4</v>
      </c>
      <c r="D138" s="63">
        <f t="shared" si="24"/>
        <v>2.8416499999999998E-3</v>
      </c>
      <c r="E138" s="326">
        <f>0.0014*(1+'Key Inputs'!G2)</f>
        <v>1.6099999999999999E-3</v>
      </c>
      <c r="F138" s="46" t="s">
        <v>39</v>
      </c>
      <c r="G138" s="300" t="s">
        <v>127</v>
      </c>
      <c r="I138" s="304"/>
      <c r="J138" s="304"/>
      <c r="K138" s="304"/>
    </row>
    <row r="139" spans="2:11" s="16" customFormat="1" hidden="1">
      <c r="B139" s="61" t="s">
        <v>90</v>
      </c>
      <c r="C139" s="62">
        <f t="shared" si="23"/>
        <v>3.8926712328767118E-5</v>
      </c>
      <c r="D139" s="63">
        <f t="shared" si="24"/>
        <v>1.7049899999999998E-4</v>
      </c>
      <c r="E139" s="326">
        <f>0.000084*(1+'Key Inputs'!G2)</f>
        <v>9.659999999999999E-5</v>
      </c>
      <c r="F139" s="46" t="s">
        <v>39</v>
      </c>
      <c r="G139" s="300" t="s">
        <v>127</v>
      </c>
      <c r="I139" s="304"/>
      <c r="J139" s="304"/>
      <c r="K139" s="304"/>
    </row>
    <row r="140" spans="2:11" s="16" customFormat="1">
      <c r="B140" s="61" t="s">
        <v>91</v>
      </c>
      <c r="C140" s="62">
        <f t="shared" si="23"/>
        <v>2.3170662100456619E-4</v>
      </c>
      <c r="D140" s="63">
        <f t="shared" si="24"/>
        <v>1.0148749999999999E-3</v>
      </c>
      <c r="E140" s="326">
        <f>0.0005*(1+'Key Inputs'!$G$2)</f>
        <v>5.7499999999999999E-4</v>
      </c>
      <c r="F140" s="46" t="s">
        <v>39</v>
      </c>
      <c r="G140" s="300" t="s">
        <v>126</v>
      </c>
      <c r="I140" s="304"/>
      <c r="J140" s="304"/>
      <c r="K140" s="304"/>
    </row>
    <row r="141" spans="2:11" s="16" customFormat="1" hidden="1">
      <c r="B141" s="61" t="s">
        <v>7</v>
      </c>
      <c r="C141" s="62">
        <f t="shared" si="23"/>
        <v>1.7609703196347034E-4</v>
      </c>
      <c r="D141" s="63">
        <f t="shared" si="24"/>
        <v>7.7130500000000002E-4</v>
      </c>
      <c r="E141" s="326">
        <f>0.00038*(1+'Key Inputs'!G2)</f>
        <v>4.37E-4</v>
      </c>
      <c r="F141" s="46" t="s">
        <v>39</v>
      </c>
      <c r="G141" s="300" t="s">
        <v>127</v>
      </c>
      <c r="I141" s="304"/>
      <c r="J141" s="304"/>
      <c r="K141" s="304"/>
    </row>
    <row r="142" spans="2:11" s="16" customFormat="1" ht="22.5" customHeight="1">
      <c r="B142" s="61" t="s">
        <v>92</v>
      </c>
      <c r="C142" s="62">
        <f t="shared" si="23"/>
        <v>1.2048744292237444E-4</v>
      </c>
      <c r="D142" s="63">
        <f t="shared" si="24"/>
        <v>5.2773499999999999E-4</v>
      </c>
      <c r="E142" s="326">
        <f>0.00026*(1+'Key Inputs'!$G$2)</f>
        <v>2.9899999999999995E-4</v>
      </c>
      <c r="F142" s="46" t="s">
        <v>39</v>
      </c>
      <c r="G142" s="300" t="s">
        <v>127</v>
      </c>
      <c r="I142" s="304"/>
      <c r="J142" s="304"/>
      <c r="K142" s="304"/>
    </row>
    <row r="143" spans="2:11" s="16" customFormat="1" ht="19.5" customHeight="1">
      <c r="B143" s="66" t="s">
        <v>12</v>
      </c>
      <c r="C143" s="62">
        <f t="shared" si="23"/>
        <v>8.4623287671232875E-4</v>
      </c>
      <c r="D143" s="63">
        <f t="shared" si="24"/>
        <v>3.7064999999999997E-3</v>
      </c>
      <c r="E143" s="327">
        <f>0.0021</f>
        <v>2.0999999999999999E-3</v>
      </c>
      <c r="F143" s="46" t="s">
        <v>39</v>
      </c>
      <c r="G143" s="300" t="s">
        <v>127</v>
      </c>
      <c r="I143" s="304"/>
      <c r="J143" s="304"/>
      <c r="K143" s="304"/>
    </row>
    <row r="144" spans="2:11" s="16" customFormat="1" ht="16.5" customHeight="1">
      <c r="B144" s="66" t="s">
        <v>93</v>
      </c>
      <c r="C144" s="62">
        <f t="shared" si="23"/>
        <v>1.1121917808219178E-5</v>
      </c>
      <c r="D144" s="63">
        <f t="shared" si="24"/>
        <v>4.8714000000000001E-5</v>
      </c>
      <c r="E144" s="327">
        <f>0.000024*(1+'Key Inputs'!$G$2)</f>
        <v>2.76E-5</v>
      </c>
      <c r="F144" s="46" t="s">
        <v>39</v>
      </c>
      <c r="G144" s="300" t="s">
        <v>127</v>
      </c>
      <c r="I144" s="304"/>
      <c r="J144" s="304"/>
      <c r="K144" s="304"/>
    </row>
    <row r="145" spans="2:11" s="16" customFormat="1">
      <c r="B145" s="66"/>
      <c r="C145" s="67"/>
      <c r="D145" s="68"/>
      <c r="E145" s="69"/>
      <c r="F145" s="46"/>
      <c r="G145" s="300"/>
      <c r="I145" s="304"/>
      <c r="J145" s="304"/>
      <c r="K145" s="304"/>
    </row>
    <row r="146" spans="2:11" s="16" customFormat="1">
      <c r="B146" s="43" t="s">
        <v>44</v>
      </c>
      <c r="C146" s="44"/>
      <c r="D146" s="68"/>
      <c r="E146" s="69"/>
      <c r="F146" s="46"/>
      <c r="G146" s="300"/>
      <c r="I146" s="304"/>
      <c r="J146" s="304"/>
      <c r="K146" s="304"/>
    </row>
    <row r="147" spans="2:11" s="16" customFormat="1" ht="14.25">
      <c r="B147" s="70" t="s">
        <v>150</v>
      </c>
      <c r="C147" s="71">
        <f>D147/$C$12*2000</f>
        <v>49919.25145333125</v>
      </c>
      <c r="D147" s="72">
        <f>E147*'Key Inputs'!$D$43*$C$17/2000</f>
        <v>218646.32136559088</v>
      </c>
      <c r="E147" s="323">
        <f>CONVERT(53.06,"kg","lbm")</f>
        <v>116.97727631529604</v>
      </c>
      <c r="F147" s="52" t="s">
        <v>45</v>
      </c>
      <c r="G147" s="314" t="s">
        <v>256</v>
      </c>
      <c r="I147" s="304"/>
      <c r="J147" s="304"/>
      <c r="K147" s="304"/>
    </row>
    <row r="148" spans="2:11" s="16" customFormat="1" ht="14.25">
      <c r="B148" s="70" t="s">
        <v>151</v>
      </c>
      <c r="C148" s="49">
        <f>D148/$C$12*2000</f>
        <v>0.94080760371902084</v>
      </c>
      <c r="D148" s="50">
        <f>E148*'Key Inputs'!$D$43*$C$17/2000</f>
        <v>4.1207373042893112</v>
      </c>
      <c r="E148" s="324">
        <f>CONVERT(0.001,"kg","lbm")</f>
        <v>2.2046226218487759E-3</v>
      </c>
      <c r="F148" s="52" t="s">
        <v>45</v>
      </c>
      <c r="G148" s="314" t="s">
        <v>94</v>
      </c>
      <c r="I148" s="304"/>
      <c r="J148" s="304"/>
      <c r="K148" s="304"/>
    </row>
    <row r="149" spans="2:11" s="16" customFormat="1" ht="14.25">
      <c r="B149" s="70" t="s">
        <v>152</v>
      </c>
      <c r="C149" s="49">
        <f>D149/$C$12*2000</f>
        <v>9.4080760371902092E-2</v>
      </c>
      <c r="D149" s="50">
        <f>E149*'Key Inputs'!$D$43*$C$17/2000</f>
        <v>0.41207373042893114</v>
      </c>
      <c r="E149" s="325">
        <f>CONVERT(0.0001,"kg","lbm")</f>
        <v>2.2046226218487756E-4</v>
      </c>
      <c r="F149" s="52" t="s">
        <v>45</v>
      </c>
      <c r="G149" s="314" t="s">
        <v>94</v>
      </c>
      <c r="I149" s="304"/>
      <c r="J149" s="304"/>
      <c r="K149" s="304"/>
    </row>
    <row r="150" spans="2:11" s="16" customFormat="1" ht="14.25">
      <c r="B150" s="70" t="s">
        <v>153</v>
      </c>
      <c r="C150" s="71">
        <f>D150/$C$12*2000</f>
        <v>49970.807710015055</v>
      </c>
      <c r="D150" s="73">
        <f>D147*'Key Inputs'!$C$62+D148*'Key Inputs'!$C$63+D149*'Key Inputs'!$C$64</f>
        <v>218872.13776986592</v>
      </c>
      <c r="E150" s="74" t="s">
        <v>46</v>
      </c>
      <c r="F150" s="75" t="s">
        <v>46</v>
      </c>
      <c r="G150" s="300" t="s">
        <v>47</v>
      </c>
      <c r="I150" s="304"/>
      <c r="J150" s="304"/>
      <c r="K150" s="304"/>
    </row>
    <row r="151" spans="2:11" s="18" customFormat="1" ht="6" customHeight="1" thickBot="1">
      <c r="B151" s="38"/>
      <c r="C151" s="76"/>
      <c r="D151" s="77"/>
      <c r="E151" s="78"/>
      <c r="F151" s="78"/>
      <c r="G151" s="299"/>
      <c r="I151" s="307"/>
      <c r="J151" s="307"/>
      <c r="K151" s="307"/>
    </row>
    <row r="152" spans="2:11" s="18" customFormat="1" ht="6" customHeight="1">
      <c r="D152" s="27"/>
      <c r="E152" s="25"/>
      <c r="F152" s="25"/>
      <c r="G152" s="21"/>
      <c r="I152" s="307"/>
      <c r="J152" s="307"/>
      <c r="K152" s="307"/>
    </row>
    <row r="153" spans="2:11" s="11" customFormat="1">
      <c r="B153" s="316" t="s">
        <v>259</v>
      </c>
      <c r="C153" s="316"/>
      <c r="D153" s="316"/>
      <c r="E153" s="317"/>
      <c r="F153" s="316"/>
      <c r="G153" s="318"/>
      <c r="I153" s="306"/>
      <c r="J153" s="306"/>
      <c r="K153" s="306"/>
    </row>
    <row r="154" spans="2:11" s="18" customFormat="1" ht="6" customHeight="1" thickBot="1">
      <c r="D154" s="27"/>
      <c r="E154" s="25"/>
      <c r="F154" s="25"/>
      <c r="G154" s="21"/>
      <c r="I154" s="307"/>
      <c r="J154" s="307"/>
      <c r="K154" s="307"/>
    </row>
    <row r="155" spans="2:11" s="18" customFormat="1" ht="6" customHeight="1">
      <c r="B155" s="28"/>
      <c r="C155" s="29"/>
      <c r="D155" s="30"/>
      <c r="E155" s="31"/>
      <c r="F155" s="31"/>
      <c r="G155" s="298"/>
      <c r="I155" s="307"/>
      <c r="J155" s="307"/>
      <c r="K155" s="307"/>
    </row>
    <row r="156" spans="2:11" s="37" customFormat="1" ht="38.25">
      <c r="B156" s="33" t="s">
        <v>32</v>
      </c>
      <c r="C156" s="34" t="s">
        <v>140</v>
      </c>
      <c r="D156" s="34" t="s">
        <v>141</v>
      </c>
      <c r="E156" s="34" t="s">
        <v>139</v>
      </c>
      <c r="F156" s="34" t="s">
        <v>35</v>
      </c>
      <c r="G156" s="35" t="s">
        <v>36</v>
      </c>
      <c r="I156" s="36"/>
      <c r="J156" s="36"/>
      <c r="K156" s="36"/>
    </row>
    <row r="157" spans="2:11" s="18" customFormat="1" ht="6" customHeight="1" thickBot="1">
      <c r="B157" s="38"/>
      <c r="C157" s="39"/>
      <c r="D157" s="40"/>
      <c r="E157" s="41"/>
      <c r="F157" s="41"/>
      <c r="G157" s="299"/>
      <c r="I157" s="307"/>
      <c r="J157" s="307"/>
      <c r="K157" s="307"/>
    </row>
    <row r="158" spans="2:11" s="18" customFormat="1" ht="6" customHeight="1">
      <c r="B158" s="28"/>
      <c r="C158" s="29"/>
      <c r="D158" s="30"/>
      <c r="E158" s="31"/>
      <c r="F158" s="31"/>
      <c r="G158" s="298"/>
      <c r="I158" s="307"/>
      <c r="J158" s="307"/>
      <c r="K158" s="307"/>
    </row>
    <row r="159" spans="2:11" s="16" customFormat="1">
      <c r="B159" s="43" t="s">
        <v>37</v>
      </c>
      <c r="C159" s="44"/>
      <c r="D159" s="45"/>
      <c r="E159" s="46"/>
      <c r="F159" s="46"/>
      <c r="G159" s="300"/>
      <c r="I159" s="304"/>
      <c r="J159" s="304"/>
      <c r="K159" s="304"/>
    </row>
    <row r="160" spans="2:11" s="16" customFormat="1">
      <c r="B160" s="48" t="s">
        <v>228</v>
      </c>
      <c r="C160" s="49">
        <f t="shared" ref="C160:C167" si="25">D160/$C$12*2000</f>
        <v>2.2952739726027396</v>
      </c>
      <c r="D160" s="50">
        <f>E160*$C$18/2000</f>
        <v>10.0533</v>
      </c>
      <c r="E160" s="321">
        <f>6.2*(1+'Key Inputs'!$G$2)</f>
        <v>7.13</v>
      </c>
      <c r="F160" s="52" t="s">
        <v>39</v>
      </c>
      <c r="G160" s="314" t="s">
        <v>264</v>
      </c>
      <c r="I160" s="304"/>
      <c r="J160" s="304"/>
      <c r="K160" s="304"/>
    </row>
    <row r="161" spans="2:11" s="16" customFormat="1" ht="14.25">
      <c r="B161" s="48" t="s">
        <v>229</v>
      </c>
      <c r="C161" s="49">
        <f t="shared" si="25"/>
        <v>1.6103938356164385</v>
      </c>
      <c r="D161" s="50">
        <f t="shared" ref="D161:D167" si="26">E161*$C$18/2000</f>
        <v>7.0535249999999996</v>
      </c>
      <c r="E161" s="321">
        <f>4.35*(1+'Key Inputs'!$G$2)</f>
        <v>5.0024999999999995</v>
      </c>
      <c r="F161" s="52" t="s">
        <v>39</v>
      </c>
      <c r="G161" s="314" t="s">
        <v>264</v>
      </c>
      <c r="I161" s="304"/>
      <c r="J161" s="304"/>
      <c r="K161" s="304"/>
    </row>
    <row r="162" spans="2:11" s="16" customFormat="1" ht="14.25">
      <c r="B162" s="48" t="s">
        <v>230</v>
      </c>
      <c r="C162" s="49">
        <f t="shared" si="25"/>
        <v>1.1920616438356162</v>
      </c>
      <c r="D162" s="50">
        <f t="shared" si="26"/>
        <v>5.2212299999999994</v>
      </c>
      <c r="E162" s="321">
        <f>3.22*(1+'Key Inputs'!$G$2)</f>
        <v>3.7029999999999998</v>
      </c>
      <c r="F162" s="52" t="s">
        <v>39</v>
      </c>
      <c r="G162" s="314" t="s">
        <v>264</v>
      </c>
      <c r="I162" s="304"/>
      <c r="J162" s="304"/>
      <c r="K162" s="304"/>
    </row>
    <row r="163" spans="2:11" s="160" customFormat="1" ht="15" customHeight="1">
      <c r="B163" s="48" t="s">
        <v>227</v>
      </c>
      <c r="C163" s="49">
        <f t="shared" si="25"/>
        <v>1.2031678082191779</v>
      </c>
      <c r="D163" s="50">
        <f t="shared" si="26"/>
        <v>5.2698749999999999</v>
      </c>
      <c r="E163" s="321">
        <f>3.25*(1+'Key Inputs'!$G$2)</f>
        <v>3.7374999999999998</v>
      </c>
      <c r="F163" s="52" t="s">
        <v>39</v>
      </c>
      <c r="G163" s="314" t="s">
        <v>265</v>
      </c>
      <c r="I163" s="310"/>
      <c r="J163" s="310"/>
      <c r="K163" s="310"/>
    </row>
    <row r="164" spans="2:11" s="16" customFormat="1" ht="14.25">
      <c r="B164" s="48" t="s">
        <v>148</v>
      </c>
      <c r="C164" s="49">
        <f t="shared" si="25"/>
        <v>29.616438356164384</v>
      </c>
      <c r="D164" s="50">
        <f t="shared" si="26"/>
        <v>129.72</v>
      </c>
      <c r="E164" s="322">
        <f>80*(1+'Key Inputs'!$G$2)</f>
        <v>92</v>
      </c>
      <c r="F164" s="52" t="s">
        <v>39</v>
      </c>
      <c r="G164" s="314" t="s">
        <v>264</v>
      </c>
      <c r="I164" s="304"/>
      <c r="J164" s="304"/>
      <c r="K164" s="304"/>
    </row>
    <row r="165" spans="2:11" s="16" customFormat="1">
      <c r="B165" s="48" t="s">
        <v>65</v>
      </c>
      <c r="C165" s="49">
        <f t="shared" si="25"/>
        <v>0.44424657534246575</v>
      </c>
      <c r="D165" s="50">
        <f t="shared" si="26"/>
        <v>1.9458</v>
      </c>
      <c r="E165" s="321">
        <f>1.2*(1+'Key Inputs'!$G$2)</f>
        <v>1.38</v>
      </c>
      <c r="F165" s="52" t="s">
        <v>39</v>
      </c>
      <c r="G165" s="314" t="s">
        <v>264</v>
      </c>
      <c r="I165" s="304"/>
      <c r="J165" s="304"/>
      <c r="K165" s="304"/>
    </row>
    <row r="166" spans="2:11" s="16" customFormat="1" ht="14.25">
      <c r="B166" s="48" t="s">
        <v>149</v>
      </c>
      <c r="C166" s="49">
        <f t="shared" si="25"/>
        <v>30.298146686220786</v>
      </c>
      <c r="D166" s="50">
        <f t="shared" si="26"/>
        <v>132.70588248564704</v>
      </c>
      <c r="E166" s="51">
        <f>(35*0.000142857143)*10000*(64/34)</f>
        <v>94.117647152941174</v>
      </c>
      <c r="F166" s="52" t="s">
        <v>39</v>
      </c>
      <c r="G166" s="301" t="s">
        <v>271</v>
      </c>
      <c r="I166" s="304"/>
      <c r="J166" s="304"/>
      <c r="K166" s="304"/>
    </row>
    <row r="167" spans="2:11" s="16" customFormat="1">
      <c r="B167" s="48" t="s">
        <v>40</v>
      </c>
      <c r="C167" s="49">
        <f t="shared" si="25"/>
        <v>6.8117808219178073</v>
      </c>
      <c r="D167" s="50">
        <f t="shared" si="26"/>
        <v>29.835599999999996</v>
      </c>
      <c r="E167" s="321">
        <f>18.4*(1+'Key Inputs'!$G$2)</f>
        <v>21.159999999999997</v>
      </c>
      <c r="F167" s="52" t="s">
        <v>39</v>
      </c>
      <c r="G167" s="314" t="s">
        <v>264</v>
      </c>
      <c r="I167" s="304"/>
      <c r="J167" s="304"/>
      <c r="K167" s="304"/>
    </row>
    <row r="168" spans="2:11" s="16" customFormat="1" ht="6" customHeight="1">
      <c r="B168" s="48"/>
      <c r="C168" s="53"/>
      <c r="D168" s="54"/>
      <c r="E168" s="55"/>
      <c r="F168" s="46"/>
      <c r="G168" s="300"/>
      <c r="I168" s="304"/>
      <c r="J168" s="304"/>
      <c r="K168" s="304"/>
    </row>
    <row r="169" spans="2:11" s="16" customFormat="1">
      <c r="B169" s="43" t="s">
        <v>41</v>
      </c>
      <c r="C169" s="44"/>
      <c r="D169" s="54"/>
      <c r="E169" s="56"/>
      <c r="F169" s="57"/>
      <c r="G169" s="300"/>
      <c r="I169" s="304"/>
      <c r="J169" s="304"/>
      <c r="K169" s="304"/>
    </row>
    <row r="170" spans="2:11" s="16" customFormat="1">
      <c r="B170" s="58" t="s">
        <v>42</v>
      </c>
      <c r="C170" s="59"/>
      <c r="D170" s="54"/>
      <c r="E170" s="50"/>
      <c r="F170" s="60"/>
      <c r="G170" s="300"/>
      <c r="I170" s="304"/>
      <c r="J170" s="304"/>
      <c r="K170" s="304"/>
    </row>
    <row r="171" spans="2:11" s="16" customFormat="1">
      <c r="B171" s="61" t="s">
        <v>43</v>
      </c>
      <c r="C171" s="62">
        <f t="shared" ref="C171:C177" si="27">D171/$C$12*2000</f>
        <v>9.7067876712328745E-3</v>
      </c>
      <c r="D171" s="63">
        <f>E171*$C$18/2000</f>
        <v>4.2515729999999988E-2</v>
      </c>
      <c r="E171" s="326">
        <f>1.9%*E165*(1+'Key Inputs'!$G$2)</f>
        <v>3.0152999999999992E-2</v>
      </c>
      <c r="F171" s="46" t="s">
        <v>39</v>
      </c>
      <c r="G171" s="300" t="s">
        <v>266</v>
      </c>
      <c r="I171" s="304"/>
      <c r="J171" s="304"/>
      <c r="K171" s="304"/>
    </row>
    <row r="172" spans="2:11" s="16" customFormat="1">
      <c r="B172" s="61"/>
      <c r="C172" s="62"/>
      <c r="D172" s="63"/>
      <c r="E172" s="63"/>
      <c r="F172" s="46"/>
      <c r="G172" s="300"/>
      <c r="I172" s="304"/>
      <c r="J172" s="304"/>
      <c r="K172" s="304"/>
    </row>
    <row r="173" spans="2:11" s="16" customFormat="1">
      <c r="B173" s="58" t="s">
        <v>261</v>
      </c>
      <c r="C173" s="62"/>
      <c r="D173" s="63"/>
      <c r="E173" s="63"/>
      <c r="F173" s="46"/>
      <c r="G173" s="300"/>
      <c r="I173" s="304"/>
      <c r="J173" s="304"/>
      <c r="K173" s="304"/>
    </row>
    <row r="174" spans="2:11" s="16" customFormat="1">
      <c r="B174" s="61" t="s">
        <v>267</v>
      </c>
      <c r="C174" s="49">
        <f t="shared" ref="C174" si="28">D174/$C$12*2000</f>
        <v>1.467945205479452</v>
      </c>
      <c r="D174" s="89">
        <f>E174*$C$18/2000</f>
        <v>6.4295999999999998</v>
      </c>
      <c r="E174" s="89">
        <v>4.5599999999999996</v>
      </c>
      <c r="F174" s="46" t="s">
        <v>39</v>
      </c>
      <c r="G174" s="300" t="s">
        <v>270</v>
      </c>
      <c r="I174" s="304"/>
      <c r="J174" s="304"/>
      <c r="K174" s="304"/>
    </row>
    <row r="175" spans="2:11" s="16" customFormat="1" ht="14.25">
      <c r="B175" s="61" t="s">
        <v>268</v>
      </c>
      <c r="C175" s="62">
        <f t="shared" si="27"/>
        <v>1.0623287671232877E-2</v>
      </c>
      <c r="D175" s="63">
        <f>E175*$C$18/2000</f>
        <v>4.6530000000000002E-2</v>
      </c>
      <c r="E175" s="63">
        <v>3.3000000000000002E-2</v>
      </c>
      <c r="F175" s="46" t="s">
        <v>39</v>
      </c>
      <c r="G175" s="300" t="s">
        <v>270</v>
      </c>
      <c r="I175" s="304"/>
      <c r="J175" s="304"/>
      <c r="K175" s="304"/>
    </row>
    <row r="176" spans="2:11" s="16" customFormat="1">
      <c r="B176" s="61" t="s">
        <v>262</v>
      </c>
      <c r="C176" s="62">
        <f t="shared" si="27"/>
        <v>2.092465753424658E-2</v>
      </c>
      <c r="D176" s="63">
        <f t="shared" ref="D176:D177" si="29">E176*$C$18/2000</f>
        <v>9.1650000000000009E-2</v>
      </c>
      <c r="E176" s="63">
        <v>6.5000000000000002E-2</v>
      </c>
      <c r="F176" s="46" t="s">
        <v>39</v>
      </c>
      <c r="G176" s="300" t="s">
        <v>270</v>
      </c>
      <c r="I176" s="304"/>
      <c r="J176" s="304"/>
      <c r="K176" s="304"/>
    </row>
    <row r="177" spans="2:18" s="16" customFormat="1" ht="14.25">
      <c r="B177" s="61" t="s">
        <v>269</v>
      </c>
      <c r="C177" s="62">
        <f t="shared" si="27"/>
        <v>4.9897260273972607E-2</v>
      </c>
      <c r="D177" s="63">
        <f t="shared" si="29"/>
        <v>0.21855000000000002</v>
      </c>
      <c r="E177" s="63">
        <v>0.155</v>
      </c>
      <c r="F177" s="46" t="s">
        <v>39</v>
      </c>
      <c r="G177" s="300" t="s">
        <v>270</v>
      </c>
      <c r="I177" s="304"/>
      <c r="J177" s="304"/>
      <c r="K177" s="304"/>
    </row>
    <row r="178" spans="2:18" s="16" customFormat="1">
      <c r="B178" s="58"/>
      <c r="C178" s="64"/>
      <c r="D178" s="65"/>
      <c r="E178" s="50"/>
      <c r="F178" s="60"/>
      <c r="G178" s="300"/>
      <c r="I178" s="304"/>
      <c r="J178" s="304"/>
      <c r="K178" s="304"/>
    </row>
    <row r="179" spans="2:18" s="16" customFormat="1">
      <c r="B179" s="43" t="s">
        <v>44</v>
      </c>
      <c r="C179" s="44"/>
      <c r="D179" s="68"/>
      <c r="E179" s="69"/>
      <c r="F179" s="46"/>
      <c r="G179" s="300"/>
      <c r="I179" s="304"/>
      <c r="J179" s="304"/>
      <c r="K179" s="304"/>
    </row>
    <row r="180" spans="2:18" s="16" customFormat="1" ht="14.25">
      <c r="B180" s="70" t="s">
        <v>150</v>
      </c>
      <c r="C180" s="71">
        <f>D180/$C$12*2000</f>
        <v>17166.864604380055</v>
      </c>
      <c r="D180" s="72">
        <f>E180*'Key Inputs'!$D$45*$C$18/2000</f>
        <v>75190.866967184644</v>
      </c>
      <c r="E180" s="323">
        <f>CONVERT(46.85,"kg","lbm")</f>
        <v>103.28656983361515</v>
      </c>
      <c r="F180" s="52" t="s">
        <v>45</v>
      </c>
      <c r="G180" s="314" t="s">
        <v>280</v>
      </c>
      <c r="I180" s="304"/>
      <c r="J180" s="304"/>
      <c r="K180" s="304"/>
    </row>
    <row r="181" spans="2:18" s="16" customFormat="1" ht="14.25">
      <c r="B181" s="70" t="s">
        <v>151</v>
      </c>
      <c r="C181" s="49">
        <f>D181/$C$12*2000</f>
        <v>0.17588249754754381</v>
      </c>
      <c r="D181" s="72">
        <f>E181*'Key Inputs'!$D$45*$C$18/2000</f>
        <v>0.77036533925824191</v>
      </c>
      <c r="E181" s="324">
        <f>CONVERT(0.00048,"kg","lbm")</f>
        <v>1.0582188584874123E-3</v>
      </c>
      <c r="F181" s="52" t="s">
        <v>45</v>
      </c>
      <c r="G181" s="314" t="s">
        <v>281</v>
      </c>
      <c r="I181" s="304"/>
      <c r="J181" s="304"/>
      <c r="K181" s="304"/>
    </row>
    <row r="182" spans="2:18" s="16" customFormat="1" ht="14.25">
      <c r="B182" s="70" t="s">
        <v>152</v>
      </c>
      <c r="C182" s="49">
        <f>D182/$C$12*2000</f>
        <v>3.6642186989071616E-2</v>
      </c>
      <c r="D182" s="72">
        <f>E182*'Key Inputs'!$D$45*$C$18/2000</f>
        <v>0.16049277901213369</v>
      </c>
      <c r="E182" s="325">
        <f>CONVERT(0.0001,"kg","lbm")</f>
        <v>2.2046226218487756E-4</v>
      </c>
      <c r="F182" s="52" t="s">
        <v>45</v>
      </c>
      <c r="G182" s="314" t="s">
        <v>281</v>
      </c>
      <c r="I182" s="304"/>
      <c r="J182" s="304"/>
      <c r="K182" s="304"/>
    </row>
    <row r="183" spans="2:18" s="16" customFormat="1" ht="14.25">
      <c r="B183" s="70" t="s">
        <v>153</v>
      </c>
      <c r="C183" s="71">
        <f>D183/$C$12*2000</f>
        <v>17182.181038541486</v>
      </c>
      <c r="D183" s="73">
        <f>D180*'Key Inputs'!$C$62+D181*'Key Inputs'!$C$63+D182*'Key Inputs'!$C$64</f>
        <v>75257.952948811711</v>
      </c>
      <c r="E183" s="74" t="s">
        <v>46</v>
      </c>
      <c r="F183" s="75" t="s">
        <v>46</v>
      </c>
      <c r="G183" s="300" t="s">
        <v>47</v>
      </c>
      <c r="I183" s="304"/>
      <c r="J183" s="304"/>
      <c r="K183" s="304"/>
    </row>
    <row r="184" spans="2:18" s="18" customFormat="1" ht="40.5" customHeight="1" thickBot="1">
      <c r="B184" s="38"/>
      <c r="C184" s="76"/>
      <c r="D184" s="77"/>
      <c r="E184" s="78"/>
      <c r="F184" s="78"/>
      <c r="G184" s="299"/>
      <c r="I184" s="307"/>
      <c r="J184" s="307"/>
      <c r="K184" s="307"/>
    </row>
    <row r="186" spans="2:18" s="11" customFormat="1">
      <c r="B186" s="316" t="s">
        <v>576</v>
      </c>
      <c r="C186" s="316"/>
      <c r="D186" s="316"/>
      <c r="E186" s="317"/>
      <c r="F186" s="316"/>
      <c r="G186" s="318"/>
      <c r="I186" s="306"/>
      <c r="J186" s="306"/>
      <c r="K186" s="306"/>
    </row>
    <row r="187" spans="2:18" s="18" customFormat="1" ht="6" customHeight="1" thickBot="1">
      <c r="D187" s="27"/>
      <c r="E187" s="25"/>
      <c r="F187" s="25"/>
      <c r="G187" s="21"/>
      <c r="I187" s="307"/>
      <c r="J187" s="307"/>
      <c r="K187" s="307"/>
    </row>
    <row r="188" spans="2:18" s="18" customFormat="1" ht="6" customHeight="1">
      <c r="B188" s="28"/>
      <c r="C188" s="29"/>
      <c r="D188" s="30"/>
      <c r="E188" s="31"/>
      <c r="F188" s="31"/>
      <c r="G188" s="298"/>
      <c r="I188" s="307"/>
      <c r="J188" s="307"/>
      <c r="K188" s="307"/>
    </row>
    <row r="189" spans="2:18" s="37" customFormat="1" ht="38.25">
      <c r="B189" s="33" t="s">
        <v>32</v>
      </c>
      <c r="C189" s="34" t="s">
        <v>140</v>
      </c>
      <c r="D189" s="34" t="s">
        <v>141</v>
      </c>
      <c r="E189" s="34" t="s">
        <v>139</v>
      </c>
      <c r="F189" s="34" t="s">
        <v>35</v>
      </c>
      <c r="G189" s="35" t="s">
        <v>36</v>
      </c>
      <c r="I189" s="308"/>
      <c r="J189" s="308"/>
      <c r="K189" s="308"/>
    </row>
    <row r="190" spans="2:18" s="18" customFormat="1" ht="6" customHeight="1" thickBot="1">
      <c r="B190" s="38"/>
      <c r="C190" s="39"/>
      <c r="D190" s="40"/>
      <c r="E190" s="41"/>
      <c r="F190" s="41"/>
      <c r="G190" s="299"/>
      <c r="H190" s="788"/>
      <c r="I190" s="789"/>
      <c r="J190" s="789"/>
      <c r="K190" s="789"/>
      <c r="L190" s="789"/>
      <c r="M190" s="789"/>
      <c r="N190" s="789"/>
      <c r="O190" s="789"/>
      <c r="P190" s="789"/>
      <c r="Q190" s="789"/>
      <c r="R190" s="789"/>
    </row>
    <row r="191" spans="2:18" s="18" customFormat="1" ht="6" customHeight="1">
      <c r="B191" s="28"/>
      <c r="C191" s="29"/>
      <c r="D191" s="30"/>
      <c r="E191" s="31"/>
      <c r="F191" s="31"/>
      <c r="G191" s="298"/>
      <c r="H191" s="790"/>
      <c r="I191" s="789"/>
      <c r="J191" s="789"/>
      <c r="K191" s="789"/>
      <c r="L191" s="789"/>
      <c r="M191" s="789"/>
      <c r="N191" s="789"/>
      <c r="O191" s="789"/>
      <c r="P191" s="789"/>
      <c r="Q191" s="789"/>
      <c r="R191" s="789"/>
    </row>
    <row r="192" spans="2:18" s="16" customFormat="1" ht="15" customHeight="1">
      <c r="B192" s="43" t="s">
        <v>37</v>
      </c>
      <c r="C192" s="44"/>
      <c r="D192" s="45"/>
      <c r="E192" s="46"/>
      <c r="F192" s="46"/>
      <c r="G192" s="300"/>
      <c r="H192" s="790"/>
      <c r="I192" s="789"/>
      <c r="J192" s="789"/>
      <c r="K192" s="789"/>
      <c r="L192" s="789"/>
      <c r="M192" s="789"/>
      <c r="N192" s="789"/>
      <c r="O192" s="789"/>
      <c r="P192" s="789"/>
      <c r="Q192" s="789"/>
      <c r="R192" s="789"/>
    </row>
    <row r="193" spans="2:18" s="16" customFormat="1">
      <c r="B193" s="48" t="s">
        <v>228</v>
      </c>
      <c r="C193" s="49">
        <f t="shared" ref="C193:C200" si="30">D193/$C$12*2000</f>
        <v>8.4403522139267273E-2</v>
      </c>
      <c r="D193" s="50">
        <f>E193*$C$19/2000</f>
        <v>0.36968742696999063</v>
      </c>
      <c r="E193" s="321">
        <f>6.2*(1+'Key Inputs'!$G$2)</f>
        <v>7.13</v>
      </c>
      <c r="F193" s="52" t="s">
        <v>39</v>
      </c>
      <c r="G193" s="314" t="s">
        <v>264</v>
      </c>
      <c r="H193" s="790"/>
      <c r="I193" s="789"/>
      <c r="J193" s="789"/>
      <c r="K193" s="789"/>
      <c r="L193" s="789"/>
      <c r="M193" s="789"/>
      <c r="N193" s="789"/>
      <c r="O193" s="789"/>
      <c r="P193" s="789"/>
      <c r="Q193" s="789"/>
      <c r="R193" s="789"/>
    </row>
    <row r="194" spans="2:18" s="16" customFormat="1" ht="14.25">
      <c r="B194" s="48" t="s">
        <v>229</v>
      </c>
      <c r="C194" s="49">
        <f t="shared" si="30"/>
        <v>5.9218600210614931E-2</v>
      </c>
      <c r="D194" s="50">
        <f t="shared" ref="D194:D200" si="31">E194*$C$19/2000</f>
        <v>0.25937746892249341</v>
      </c>
      <c r="E194" s="321">
        <f>4.35*(1+'Key Inputs'!$G$2)</f>
        <v>5.0024999999999995</v>
      </c>
      <c r="F194" s="52" t="s">
        <v>39</v>
      </c>
      <c r="G194" s="314" t="s">
        <v>264</v>
      </c>
      <c r="I194" s="304"/>
      <c r="J194" s="304"/>
      <c r="K194" s="304"/>
    </row>
    <row r="195" spans="2:18" s="16" customFormat="1" ht="14.25">
      <c r="B195" s="48" t="s">
        <v>230</v>
      </c>
      <c r="C195" s="49">
        <f t="shared" si="30"/>
        <v>4.383537762716784E-2</v>
      </c>
      <c r="D195" s="50">
        <f t="shared" si="31"/>
        <v>0.19199895400699513</v>
      </c>
      <c r="E195" s="321">
        <f>3.22*(1+'Key Inputs'!$G$2)</f>
        <v>3.7029999999999998</v>
      </c>
      <c r="F195" s="52" t="s">
        <v>39</v>
      </c>
      <c r="G195" s="314" t="s">
        <v>264</v>
      </c>
      <c r="I195" s="304"/>
      <c r="J195" s="304"/>
      <c r="K195" s="304"/>
    </row>
    <row r="196" spans="2:18" s="160" customFormat="1" ht="15" customHeight="1">
      <c r="B196" s="48" t="s">
        <v>227</v>
      </c>
      <c r="C196" s="49">
        <f t="shared" si="30"/>
        <v>4.4243781766551388E-2</v>
      </c>
      <c r="D196" s="50">
        <f t="shared" si="31"/>
        <v>0.19378776413749507</v>
      </c>
      <c r="E196" s="321">
        <f>3.25*(1+'Key Inputs'!$G$2)</f>
        <v>3.7374999999999998</v>
      </c>
      <c r="F196" s="52" t="s">
        <v>39</v>
      </c>
      <c r="G196" s="314" t="s">
        <v>265</v>
      </c>
      <c r="I196" s="310"/>
      <c r="J196" s="310"/>
      <c r="K196" s="310"/>
    </row>
    <row r="197" spans="2:18" s="16" customFormat="1" ht="14.25">
      <c r="B197" s="48" t="s">
        <v>148</v>
      </c>
      <c r="C197" s="49">
        <f t="shared" si="30"/>
        <v>1.0890777050228033</v>
      </c>
      <c r="D197" s="50">
        <f t="shared" si="31"/>
        <v>4.7701603479998784</v>
      </c>
      <c r="E197" s="322">
        <f>80*(1+'Key Inputs'!$G$2)</f>
        <v>92</v>
      </c>
      <c r="F197" s="52" t="s">
        <v>39</v>
      </c>
      <c r="G197" s="314" t="s">
        <v>264</v>
      </c>
      <c r="I197" s="304"/>
      <c r="J197" s="304"/>
      <c r="K197" s="304"/>
    </row>
    <row r="198" spans="2:18" s="16" customFormat="1">
      <c r="B198" s="48" t="s">
        <v>65</v>
      </c>
      <c r="C198" s="49">
        <f t="shared" si="30"/>
        <v>1.6336165575342048E-2</v>
      </c>
      <c r="D198" s="50">
        <f t="shared" si="31"/>
        <v>7.1552405219998172E-2</v>
      </c>
      <c r="E198" s="321">
        <f>1.2*(1+'Key Inputs'!$G$2)</f>
        <v>1.38</v>
      </c>
      <c r="F198" s="52" t="s">
        <v>39</v>
      </c>
      <c r="G198" s="314" t="s">
        <v>264</v>
      </c>
      <c r="I198" s="304"/>
      <c r="J198" s="304"/>
      <c r="K198" s="304"/>
    </row>
    <row r="199" spans="2:18" s="16" customFormat="1" ht="14.25">
      <c r="B199" s="48" t="s">
        <v>149</v>
      </c>
      <c r="C199" s="49">
        <v>2.0099999999999998</v>
      </c>
      <c r="D199" s="50">
        <f>C199*C12/2000</f>
        <v>8.803799999999999</v>
      </c>
      <c r="E199" s="332" t="s">
        <v>21</v>
      </c>
      <c r="F199" s="578" t="s">
        <v>21</v>
      </c>
      <c r="G199" s="301" t="s">
        <v>749</v>
      </c>
      <c r="I199" s="304"/>
      <c r="J199" s="304"/>
      <c r="K199" s="304"/>
    </row>
    <row r="200" spans="2:18" s="16" customFormat="1">
      <c r="B200" s="48" t="s">
        <v>40</v>
      </c>
      <c r="C200" s="49">
        <f t="shared" si="30"/>
        <v>0.25048787215524471</v>
      </c>
      <c r="D200" s="50">
        <f t="shared" si="31"/>
        <v>1.0971368800399719</v>
      </c>
      <c r="E200" s="321">
        <f>18.4*(1+'Key Inputs'!$G$2)</f>
        <v>21.159999999999997</v>
      </c>
      <c r="F200" s="52" t="s">
        <v>39</v>
      </c>
      <c r="G200" s="314" t="s">
        <v>264</v>
      </c>
      <c r="I200" s="304"/>
      <c r="J200" s="304"/>
      <c r="K200" s="304"/>
    </row>
    <row r="201" spans="2:18" s="16" customFormat="1" ht="6" customHeight="1">
      <c r="B201" s="48"/>
      <c r="C201" s="53"/>
      <c r="D201" s="54"/>
      <c r="E201" s="55"/>
      <c r="F201" s="46"/>
      <c r="G201" s="300"/>
      <c r="I201" s="304"/>
      <c r="J201" s="304"/>
      <c r="K201" s="304"/>
    </row>
    <row r="202" spans="2:18" s="16" customFormat="1">
      <c r="B202" s="43" t="s">
        <v>41</v>
      </c>
      <c r="C202" s="44"/>
      <c r="D202" s="54"/>
      <c r="E202" s="56"/>
      <c r="F202" s="57"/>
      <c r="G202" s="300"/>
      <c r="I202" s="304"/>
      <c r="J202" s="304"/>
      <c r="K202" s="304"/>
    </row>
    <row r="203" spans="2:18" s="16" customFormat="1">
      <c r="B203" s="58" t="s">
        <v>42</v>
      </c>
      <c r="C203" s="59"/>
      <c r="D203" s="54"/>
      <c r="E203" s="50"/>
      <c r="F203" s="60"/>
      <c r="G203" s="300"/>
      <c r="I203" s="304"/>
      <c r="J203" s="304"/>
      <c r="K203" s="304"/>
    </row>
    <row r="204" spans="2:18" s="16" customFormat="1">
      <c r="B204" s="61" t="s">
        <v>43</v>
      </c>
      <c r="C204" s="62">
        <f t="shared" ref="C204" si="32">D204/$C$12*2000</f>
        <v>3.1038714593149889E-4</v>
      </c>
      <c r="D204" s="63">
        <f>E204*$C$19/2000</f>
        <v>1.3594956991799651E-3</v>
      </c>
      <c r="E204" s="326">
        <f>1.9%*E198</f>
        <v>2.6219999999999997E-2</v>
      </c>
      <c r="F204" s="46" t="s">
        <v>39</v>
      </c>
      <c r="G204" s="300" t="s">
        <v>266</v>
      </c>
      <c r="I204" s="304"/>
      <c r="J204" s="304"/>
      <c r="K204" s="304"/>
    </row>
    <row r="205" spans="2:18" s="16" customFormat="1">
      <c r="B205" s="61"/>
      <c r="C205" s="62"/>
      <c r="D205" s="63"/>
      <c r="E205" s="63"/>
      <c r="F205" s="46"/>
      <c r="G205" s="300"/>
      <c r="I205" s="304"/>
      <c r="J205" s="304"/>
      <c r="K205" s="304"/>
    </row>
    <row r="206" spans="2:18" s="16" customFormat="1">
      <c r="B206" s="58" t="s">
        <v>261</v>
      </c>
      <c r="C206" s="62"/>
      <c r="D206" s="63"/>
      <c r="E206" s="63"/>
      <c r="F206" s="46"/>
      <c r="G206" s="300"/>
      <c r="I206" s="304"/>
      <c r="J206" s="304"/>
      <c r="K206" s="304"/>
    </row>
    <row r="207" spans="2:18" s="16" customFormat="1">
      <c r="B207" s="61" t="s">
        <v>267</v>
      </c>
      <c r="C207" s="49">
        <f t="shared" ref="C207:C210" si="33">D207/$C$12*2000</f>
        <v>5.398037320547807E-2</v>
      </c>
      <c r="D207" s="89">
        <f>E207*$C$19/2000</f>
        <v>0.23643403463999396</v>
      </c>
      <c r="E207" s="89">
        <v>4.5599999999999996</v>
      </c>
      <c r="F207" s="46" t="s">
        <v>39</v>
      </c>
      <c r="G207" s="300" t="s">
        <v>270</v>
      </c>
      <c r="I207" s="304"/>
      <c r="J207" s="304"/>
      <c r="K207" s="304"/>
    </row>
    <row r="208" spans="2:18" s="16" customFormat="1" ht="14.25">
      <c r="B208" s="61" t="s">
        <v>268</v>
      </c>
      <c r="C208" s="62">
        <f t="shared" si="33"/>
        <v>3.9064743767122293E-4</v>
      </c>
      <c r="D208" s="89">
        <f t="shared" ref="D208:D210" si="34">E208*$C$19/2000</f>
        <v>1.7110357769999564E-3</v>
      </c>
      <c r="E208" s="63">
        <v>3.3000000000000002E-2</v>
      </c>
      <c r="F208" s="46" t="s">
        <v>39</v>
      </c>
      <c r="G208" s="300" t="s">
        <v>270</v>
      </c>
      <c r="I208" s="304"/>
      <c r="J208" s="304"/>
      <c r="K208" s="304"/>
    </row>
    <row r="209" spans="2:11" s="16" customFormat="1">
      <c r="B209" s="61" t="s">
        <v>262</v>
      </c>
      <c r="C209" s="62">
        <f t="shared" si="33"/>
        <v>7.6945707420089367E-4</v>
      </c>
      <c r="D209" s="89">
        <f t="shared" si="34"/>
        <v>3.3702219849999146E-3</v>
      </c>
      <c r="E209" s="63">
        <v>6.5000000000000002E-2</v>
      </c>
      <c r="F209" s="46" t="s">
        <v>39</v>
      </c>
      <c r="G209" s="300" t="s">
        <v>270</v>
      </c>
      <c r="I209" s="304"/>
      <c r="J209" s="304"/>
      <c r="K209" s="304"/>
    </row>
    <row r="210" spans="2:11" s="16" customFormat="1" ht="14.25">
      <c r="B210" s="61" t="s">
        <v>269</v>
      </c>
      <c r="C210" s="62">
        <f t="shared" si="33"/>
        <v>1.8348591769405925E-3</v>
      </c>
      <c r="D210" s="89">
        <f t="shared" si="34"/>
        <v>8.0366831949997952E-3</v>
      </c>
      <c r="E210" s="63">
        <v>0.155</v>
      </c>
      <c r="F210" s="46" t="s">
        <v>39</v>
      </c>
      <c r="G210" s="300" t="s">
        <v>270</v>
      </c>
      <c r="I210" s="304"/>
      <c r="J210" s="304"/>
      <c r="K210" s="304"/>
    </row>
    <row r="211" spans="2:11" s="16" customFormat="1">
      <c r="B211" s="58"/>
      <c r="C211" s="64"/>
      <c r="D211" s="65"/>
      <c r="E211" s="50"/>
      <c r="F211" s="60"/>
      <c r="G211" s="300"/>
      <c r="I211" s="304"/>
      <c r="J211" s="304"/>
      <c r="K211" s="304"/>
    </row>
    <row r="212" spans="2:11" s="16" customFormat="1">
      <c r="B212" s="43" t="s">
        <v>44</v>
      </c>
      <c r="C212" s="44"/>
      <c r="D212" s="68"/>
      <c r="E212" s="69"/>
      <c r="F212" s="46"/>
      <c r="G212" s="300"/>
      <c r="I212" s="304"/>
      <c r="J212" s="304"/>
      <c r="K212" s="304"/>
    </row>
    <row r="213" spans="2:11" s="16" customFormat="1" ht="14.25">
      <c r="B213" s="70" t="s">
        <v>150</v>
      </c>
      <c r="C213" s="71">
        <f>D213/$C$12*2000</f>
        <v>631.27271689250972</v>
      </c>
      <c r="D213" s="72">
        <f>E213*'Key Inputs'!$D$45*$C$19/2000</f>
        <v>2764.9744999891927</v>
      </c>
      <c r="E213" s="323">
        <f>CONVERT(46.85,"kg","lbm")</f>
        <v>103.28656983361515</v>
      </c>
      <c r="F213" s="52" t="s">
        <v>45</v>
      </c>
      <c r="G213" s="314" t="s">
        <v>280</v>
      </c>
      <c r="I213" s="304"/>
      <c r="J213" s="304"/>
      <c r="K213" s="304"/>
    </row>
    <row r="214" spans="2:11" s="16" customFormat="1" ht="14.25">
      <c r="B214" s="70" t="s">
        <v>151</v>
      </c>
      <c r="C214" s="49">
        <f>D214/$C$12*2000</f>
        <v>6.4676820514067172E-3</v>
      </c>
      <c r="D214" s="72">
        <f>E214*'Key Inputs'!$D$45*$C$19/2000</f>
        <v>2.8328447385161423E-2</v>
      </c>
      <c r="E214" s="324">
        <f>CONVERT(0.00048,"kg","lbm")</f>
        <v>1.0582188584874123E-3</v>
      </c>
      <c r="F214" s="52" t="s">
        <v>45</v>
      </c>
      <c r="G214" s="314" t="s">
        <v>281</v>
      </c>
      <c r="I214" s="304"/>
      <c r="J214" s="304"/>
      <c r="K214" s="304"/>
    </row>
    <row r="215" spans="2:11" s="16" customFormat="1" ht="14.25">
      <c r="B215" s="70" t="s">
        <v>152</v>
      </c>
      <c r="C215" s="49">
        <f>D215/$C$12*2000</f>
        <v>1.3474337607097325E-3</v>
      </c>
      <c r="D215" s="72">
        <f>E215*'Key Inputs'!$D$45*$C$19/2000</f>
        <v>5.901759871908629E-3</v>
      </c>
      <c r="E215" s="325">
        <f>CONVERT(0.0001,"kg","lbm")</f>
        <v>2.2046226218487756E-4</v>
      </c>
      <c r="F215" s="52" t="s">
        <v>45</v>
      </c>
      <c r="G215" s="314" t="s">
        <v>281</v>
      </c>
      <c r="I215" s="304"/>
      <c r="J215" s="304"/>
      <c r="K215" s="304"/>
    </row>
    <row r="216" spans="2:11" s="16" customFormat="1" ht="14.25">
      <c r="B216" s="70" t="s">
        <v>153</v>
      </c>
      <c r="C216" s="71">
        <f>D216/$C$12*2000</f>
        <v>631.8359442044864</v>
      </c>
      <c r="D216" s="73">
        <f>D213*'Key Inputs'!$C$62+D214*'Key Inputs'!$C$63+D215*'Key Inputs'!$C$64</f>
        <v>2767.4414356156503</v>
      </c>
      <c r="E216" s="74" t="s">
        <v>46</v>
      </c>
      <c r="F216" s="75" t="s">
        <v>46</v>
      </c>
      <c r="G216" s="300" t="s">
        <v>47</v>
      </c>
      <c r="I216" s="304"/>
      <c r="J216" s="304"/>
      <c r="K216" s="304"/>
    </row>
    <row r="217" spans="2:11" s="18" customFormat="1" ht="6" customHeight="1" thickBot="1">
      <c r="B217" s="38"/>
      <c r="C217" s="76"/>
      <c r="D217" s="77"/>
      <c r="E217" s="78"/>
      <c r="F217" s="78"/>
      <c r="G217" s="299"/>
      <c r="I217" s="307"/>
      <c r="J217" s="307"/>
      <c r="K217" s="307"/>
    </row>
  </sheetData>
  <mergeCells count="4">
    <mergeCell ref="I25:K25"/>
    <mergeCell ref="I58:K58"/>
    <mergeCell ref="H190:R193"/>
    <mergeCell ref="H62:V64"/>
  </mergeCells>
  <phoneticPr fontId="41" type="noConversion"/>
  <pageMargins left="0.2" right="0.2" top="0.25" bottom="0.25" header="0.05" footer="0.05"/>
  <pageSetup scale="63" orientation="portrait" horizontalDpi="1200" verticalDpi="1200" r:id="rId1"/>
  <rowBreaks count="2" manualBreakCount="2">
    <brk id="86" max="6" man="1"/>
    <brk id="152" max="6"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F4863-4AFA-474A-BA9D-00689234EC8D}">
  <dimension ref="A1:Q48"/>
  <sheetViews>
    <sheetView topLeftCell="A28" zoomScale="140" zoomScaleNormal="140" zoomScaleSheetLayoutView="100" workbookViewId="0">
      <selection activeCell="G42" sqref="G42"/>
    </sheetView>
  </sheetViews>
  <sheetFormatPr defaultColWidth="9.140625" defaultRowHeight="12.75"/>
  <cols>
    <col min="1" max="1" width="2.42578125" style="90" customWidth="1"/>
    <col min="2" max="2" width="32.85546875" style="90" customWidth="1"/>
    <col min="3" max="8" width="12.5703125" style="90" customWidth="1"/>
    <col min="9" max="10" width="12.5703125" style="92" customWidth="1"/>
    <col min="11" max="11" width="12.5703125" style="90" customWidth="1"/>
    <col min="12" max="12" width="12.5703125" style="92" customWidth="1"/>
    <col min="13" max="13" width="9.140625" style="90"/>
    <col min="14" max="14" width="13.140625" style="90" customWidth="1"/>
    <col min="15" max="15" width="9.140625" style="90"/>
    <col min="16" max="16" width="10.5703125" style="90" customWidth="1"/>
    <col min="17" max="16384" width="9.140625" style="90"/>
  </cols>
  <sheetData>
    <row r="1" spans="2:13" s="1" customFormat="1" ht="11.25" customHeight="1">
      <c r="I1" s="304"/>
      <c r="J1" s="304"/>
      <c r="L1" s="304"/>
    </row>
    <row r="2" spans="2:13" s="6" customFormat="1">
      <c r="B2" s="5" t="str">
        <f>'Key Inputs'!B2</f>
        <v>Company Name:</v>
      </c>
      <c r="C2" s="279" t="str">
        <f>'Key Inputs'!C2</f>
        <v>U. S. Steel Corp.</v>
      </c>
      <c r="F2" s="5"/>
      <c r="I2" s="305"/>
      <c r="J2" s="305"/>
      <c r="L2" s="305"/>
    </row>
    <row r="3" spans="2:13" s="6" customFormat="1">
      <c r="B3" s="5" t="str">
        <f>'Key Inputs'!B3</f>
        <v>Site Name:</v>
      </c>
      <c r="C3" s="279" t="str">
        <f>'Key Inputs'!C3</f>
        <v>Edgar Thomson Plant</v>
      </c>
      <c r="F3" s="5"/>
      <c r="I3" s="305"/>
      <c r="J3" s="305"/>
      <c r="L3" s="305"/>
    </row>
    <row r="4" spans="2:13" s="6" customFormat="1">
      <c r="B4" s="5" t="str">
        <f>'Key Inputs'!B4</f>
        <v>Description:</v>
      </c>
      <c r="C4" s="279" t="str">
        <f>'Key Inputs'!C4</f>
        <v>Title V Permit Renewal</v>
      </c>
      <c r="F4" s="5"/>
      <c r="I4" s="305"/>
      <c r="J4" s="305"/>
      <c r="L4" s="305"/>
    </row>
    <row r="5" spans="2:13" s="6" customFormat="1">
      <c r="B5" s="5" t="str">
        <f>'Key Inputs'!B5</f>
        <v>Date:</v>
      </c>
      <c r="C5" s="281" t="str">
        <f>'Key Inputs'!C5</f>
        <v>10/7/2020 - DRAFT</v>
      </c>
      <c r="F5" s="5"/>
      <c r="I5" s="305"/>
      <c r="J5" s="305"/>
      <c r="L5" s="305"/>
    </row>
    <row r="6" spans="2:13" s="6" customFormat="1">
      <c r="B6" s="5"/>
      <c r="C6" s="183"/>
      <c r="D6" s="5"/>
      <c r="F6" s="5"/>
      <c r="I6" s="305"/>
      <c r="J6" s="305"/>
      <c r="L6" s="305"/>
    </row>
    <row r="7" spans="2:13" s="11" customFormat="1">
      <c r="B7" s="10" t="s">
        <v>617</v>
      </c>
      <c r="C7" s="10"/>
      <c r="D7" s="10"/>
      <c r="F7" s="10"/>
      <c r="I7" s="306"/>
      <c r="J7" s="306"/>
      <c r="L7" s="306"/>
    </row>
    <row r="8" spans="2:13" s="16" customFormat="1">
      <c r="B8" s="14"/>
      <c r="C8" s="15"/>
      <c r="I8" s="304"/>
      <c r="J8" s="304"/>
      <c r="L8" s="304"/>
    </row>
    <row r="9" spans="2:13" s="18" customFormat="1">
      <c r="B9" s="20" t="s">
        <v>25</v>
      </c>
      <c r="C9" s="20" t="s">
        <v>583</v>
      </c>
      <c r="D9" s="20"/>
      <c r="E9" s="21"/>
      <c r="I9" s="307"/>
      <c r="J9" s="307"/>
      <c r="L9" s="307"/>
    </row>
    <row r="10" spans="2:13" s="18" customFormat="1">
      <c r="B10" s="20" t="s">
        <v>56</v>
      </c>
      <c r="C10" s="23" t="s">
        <v>21</v>
      </c>
      <c r="D10" s="20"/>
      <c r="E10" s="21"/>
      <c r="I10" s="307"/>
      <c r="J10" s="307"/>
      <c r="L10" s="307"/>
    </row>
    <row r="11" spans="2:13" s="18" customFormat="1">
      <c r="B11" s="20" t="s">
        <v>291</v>
      </c>
      <c r="C11" s="23" t="s">
        <v>16</v>
      </c>
      <c r="D11" s="20"/>
      <c r="E11" s="21"/>
      <c r="I11" s="307"/>
      <c r="J11" s="307"/>
      <c r="L11" s="307"/>
    </row>
    <row r="12" spans="2:13" s="18" customFormat="1">
      <c r="B12" s="20" t="s">
        <v>26</v>
      </c>
      <c r="C12" s="24">
        <f>'Key Inputs'!$G$22</f>
        <v>8760</v>
      </c>
      <c r="D12" s="21" t="s">
        <v>10</v>
      </c>
      <c r="E12" s="21"/>
      <c r="G12" s="87"/>
      <c r="I12" s="307"/>
      <c r="J12" s="307"/>
      <c r="L12" s="307"/>
    </row>
    <row r="13" spans="2:13" s="18" customFormat="1">
      <c r="B13" s="20" t="s">
        <v>607</v>
      </c>
      <c r="C13" s="24">
        <f>'Key Inputs'!E13*2</f>
        <v>3504000</v>
      </c>
      <c r="D13" s="21" t="s">
        <v>222</v>
      </c>
      <c r="E13" s="21"/>
      <c r="G13" s="87"/>
      <c r="I13" s="307"/>
      <c r="J13" s="307"/>
      <c r="L13" s="307"/>
    </row>
    <row r="14" spans="2:13" s="18" customFormat="1">
      <c r="B14" s="186"/>
      <c r="C14" s="169"/>
      <c r="D14" s="168"/>
      <c r="G14" s="87"/>
      <c r="H14" s="307"/>
      <c r="I14" s="429"/>
      <c r="J14" s="307"/>
      <c r="K14" s="307"/>
      <c r="L14" s="429"/>
    </row>
    <row r="15" spans="2:13" s="11" customFormat="1">
      <c r="B15" s="802" t="s">
        <v>585</v>
      </c>
      <c r="C15" s="802"/>
      <c r="D15" s="802"/>
      <c r="E15" s="802"/>
      <c r="F15" s="802"/>
      <c r="G15" s="802"/>
      <c r="H15" s="802"/>
      <c r="I15" s="802"/>
      <c r="J15" s="802"/>
      <c r="K15" s="802"/>
      <c r="L15" s="802"/>
      <c r="M15" s="802"/>
    </row>
    <row r="16" spans="2:13" ht="13.5" thickBot="1">
      <c r="B16" s="380"/>
      <c r="C16" s="93"/>
      <c r="D16" s="93"/>
      <c r="E16" s="93"/>
      <c r="F16" s="93"/>
      <c r="G16" s="93"/>
      <c r="H16" s="93"/>
      <c r="I16" s="93"/>
      <c r="J16" s="93"/>
      <c r="K16" s="93"/>
      <c r="L16" s="93"/>
    </row>
    <row r="17" spans="2:17" ht="6" customHeight="1">
      <c r="B17" s="361"/>
      <c r="C17" s="362"/>
      <c r="D17" s="362"/>
      <c r="E17" s="362"/>
      <c r="F17" s="362"/>
      <c r="G17" s="362"/>
      <c r="H17" s="362"/>
      <c r="I17" s="362"/>
      <c r="J17" s="362"/>
      <c r="K17" s="362"/>
      <c r="L17" s="363"/>
    </row>
    <row r="18" spans="2:17" ht="14.45" customHeight="1">
      <c r="B18" s="803" t="s">
        <v>586</v>
      </c>
      <c r="C18" s="396" t="s">
        <v>601</v>
      </c>
      <c r="D18" s="396" t="s">
        <v>599</v>
      </c>
      <c r="E18" s="396" t="s">
        <v>603</v>
      </c>
      <c r="F18" s="395" t="s">
        <v>363</v>
      </c>
      <c r="G18" s="358" t="s">
        <v>64</v>
      </c>
      <c r="H18" s="358" t="s">
        <v>495</v>
      </c>
      <c r="I18" s="358" t="s">
        <v>496</v>
      </c>
      <c r="J18" s="358" t="s">
        <v>64</v>
      </c>
      <c r="K18" s="358" t="s">
        <v>495</v>
      </c>
      <c r="L18" s="100" t="s">
        <v>496</v>
      </c>
    </row>
    <row r="19" spans="2:17">
      <c r="B19" s="803"/>
      <c r="C19" s="396" t="s">
        <v>602</v>
      </c>
      <c r="D19" s="396" t="s">
        <v>600</v>
      </c>
      <c r="E19" s="396" t="s">
        <v>604</v>
      </c>
      <c r="F19" s="395" t="s">
        <v>367</v>
      </c>
      <c r="G19" s="358" t="s">
        <v>610</v>
      </c>
      <c r="H19" s="358" t="s">
        <v>610</v>
      </c>
      <c r="I19" s="358" t="s">
        <v>610</v>
      </c>
      <c r="J19" s="358" t="s">
        <v>366</v>
      </c>
      <c r="K19" s="358" t="s">
        <v>366</v>
      </c>
      <c r="L19" s="100" t="s">
        <v>366</v>
      </c>
      <c r="N19" s="92" t="s">
        <v>608</v>
      </c>
      <c r="P19" s="92" t="s">
        <v>411</v>
      </c>
    </row>
    <row r="20" spans="2:17">
      <c r="B20" s="803"/>
      <c r="C20" s="396" t="s">
        <v>598</v>
      </c>
      <c r="D20" s="396" t="s">
        <v>376</v>
      </c>
      <c r="E20" s="396" t="s">
        <v>605</v>
      </c>
      <c r="F20" s="358" t="s">
        <v>376</v>
      </c>
      <c r="G20" s="358" t="s">
        <v>606</v>
      </c>
      <c r="H20" s="358" t="s">
        <v>606</v>
      </c>
      <c r="I20" s="358" t="s">
        <v>606</v>
      </c>
      <c r="J20" s="358" t="s">
        <v>494</v>
      </c>
      <c r="K20" s="358" t="s">
        <v>494</v>
      </c>
      <c r="L20" s="100" t="s">
        <v>494</v>
      </c>
    </row>
    <row r="21" spans="2:17" ht="15.75" customHeight="1" thickBot="1">
      <c r="B21" s="364"/>
      <c r="C21" s="365"/>
      <c r="D21" s="365"/>
      <c r="E21" s="365"/>
      <c r="F21" s="365"/>
      <c r="G21" s="365"/>
      <c r="H21" s="365"/>
      <c r="I21" s="365"/>
      <c r="J21" s="365"/>
      <c r="K21" s="365"/>
      <c r="L21" s="98"/>
    </row>
    <row r="22" spans="2:17">
      <c r="B22" s="369" t="s">
        <v>587</v>
      </c>
      <c r="C22" s="373">
        <f>N22/$P$22*$C$13</f>
        <v>101508.34154088673</v>
      </c>
      <c r="D22" s="371">
        <v>2.2000000000000002</v>
      </c>
      <c r="E22" s="370">
        <v>6</v>
      </c>
      <c r="F22" s="527">
        <v>70</v>
      </c>
      <c r="G22" s="531">
        <f>(0.74*0.0032*(((6.525/5)^1.3)/((D22/2)^1.4)))</f>
        <v>2.9290420327906211E-3</v>
      </c>
      <c r="H22" s="531">
        <f t="shared" ref="H22:H27" si="0">0.35*0.0032*(((6.525/5)^1.3)/((D22/2)^1.4))</f>
        <v>1.3853577182117802E-3</v>
      </c>
      <c r="I22" s="531">
        <f t="shared" ref="I22:I27" si="1">0.053*0.0032*(((6.525/5)^1.3)/((D22/2)^1.4))</f>
        <v>2.0978274018635531E-4</v>
      </c>
      <c r="J22" s="371">
        <f>C22*G22*E22*(100-F22)%/2000</f>
        <v>0.26758997914691113</v>
      </c>
      <c r="K22" s="372">
        <f>C22*E22*H22*(100-F22)%/2000</f>
        <v>0.12656282797489041</v>
      </c>
      <c r="L22" s="374">
        <f>C22*E22*I22*(100-F22)%/2000</f>
        <v>1.9165228236197693E-2</v>
      </c>
      <c r="N22" s="764">
        <v>66268</v>
      </c>
      <c r="P22" s="381">
        <v>2287527</v>
      </c>
      <c r="Q22" s="92" t="s">
        <v>144</v>
      </c>
    </row>
    <row r="23" spans="2:17">
      <c r="B23" s="188" t="s">
        <v>588</v>
      </c>
      <c r="C23" s="368">
        <f t="shared" ref="C23:C32" si="2">N23/$P$22*$C$13</f>
        <v>5351430.9837654373</v>
      </c>
      <c r="D23" s="96">
        <v>2.2000000000000002</v>
      </c>
      <c r="E23" s="97">
        <v>4</v>
      </c>
      <c r="F23" s="528">
        <v>70</v>
      </c>
      <c r="G23" s="340">
        <f>0.74*0.0032*(((6.525/5)^1.3)/((D23/2)^1.4))</f>
        <v>2.9290420327906211E-3</v>
      </c>
      <c r="H23" s="340">
        <f t="shared" si="0"/>
        <v>1.3853577182117802E-3</v>
      </c>
      <c r="I23" s="340">
        <f t="shared" si="1"/>
        <v>2.0978274018635531E-4</v>
      </c>
      <c r="J23" s="96">
        <f t="shared" ref="J23:J32" si="3">C23*G23*E23*(100-F23)%/2000</f>
        <v>9.4047397722162174</v>
      </c>
      <c r="K23" s="367">
        <f t="shared" ref="K23:K32" si="4">C23*E23*H23*(100-F23)%/2000</f>
        <v>4.4481877301022648</v>
      </c>
      <c r="L23" s="375">
        <f t="shared" ref="L23:L32" si="5">C23*E23*I23*(100-F23)%/2000</f>
        <v>0.67358271341548581</v>
      </c>
      <c r="N23" s="382">
        <v>3493591</v>
      </c>
    </row>
    <row r="24" spans="2:17">
      <c r="B24" s="188" t="s">
        <v>589</v>
      </c>
      <c r="C24" s="368">
        <f t="shared" si="2"/>
        <v>0</v>
      </c>
      <c r="D24" s="96">
        <v>0.2</v>
      </c>
      <c r="E24" s="97">
        <v>6</v>
      </c>
      <c r="F24" s="528">
        <v>70</v>
      </c>
      <c r="G24" s="340">
        <f>0.74*0.0032*(((6.525/5)^1.3)/((D24/2)^1.4))</f>
        <v>8.4076643059657355E-2</v>
      </c>
      <c r="H24" s="340">
        <f t="shared" si="0"/>
        <v>3.9765979825513616E-2</v>
      </c>
      <c r="I24" s="340">
        <f t="shared" si="1"/>
        <v>6.0217055164349196E-3</v>
      </c>
      <c r="J24" s="96">
        <f t="shared" si="3"/>
        <v>0</v>
      </c>
      <c r="K24" s="367">
        <f t="shared" si="4"/>
        <v>0</v>
      </c>
      <c r="L24" s="375">
        <f t="shared" si="5"/>
        <v>0</v>
      </c>
      <c r="N24" s="382">
        <v>0</v>
      </c>
    </row>
    <row r="25" spans="2:17">
      <c r="B25" s="188" t="s">
        <v>590</v>
      </c>
      <c r="C25" s="368">
        <f t="shared" si="2"/>
        <v>71408.762388378367</v>
      </c>
      <c r="D25" s="96">
        <v>2.2000000000000002</v>
      </c>
      <c r="E25" s="97">
        <v>6</v>
      </c>
      <c r="F25" s="528">
        <v>70</v>
      </c>
      <c r="G25" s="340">
        <f>0.74*0.0032*(((6.525/5)^1.3)/((D25/2)^1.4))</f>
        <v>2.9290420327906211E-3</v>
      </c>
      <c r="H25" s="340">
        <f t="shared" si="0"/>
        <v>1.3853577182117802E-3</v>
      </c>
      <c r="I25" s="340">
        <f t="shared" si="1"/>
        <v>2.0978274018635531E-4</v>
      </c>
      <c r="J25" s="96">
        <f t="shared" si="3"/>
        <v>0.18824333989060638</v>
      </c>
      <c r="K25" s="367">
        <f t="shared" si="4"/>
        <v>8.9034012110421931E-2</v>
      </c>
      <c r="L25" s="375">
        <f t="shared" si="5"/>
        <v>1.3482293262435321E-2</v>
      </c>
      <c r="N25" s="382">
        <v>46618</v>
      </c>
    </row>
    <row r="26" spans="2:17">
      <c r="B26" s="188" t="s">
        <v>591</v>
      </c>
      <c r="C26" s="368">
        <f t="shared" si="2"/>
        <v>144914.53871364141</v>
      </c>
      <c r="D26" s="96">
        <v>2.2000000000000002</v>
      </c>
      <c r="E26" s="97">
        <v>6</v>
      </c>
      <c r="F26" s="528">
        <v>70</v>
      </c>
      <c r="G26" s="340">
        <f>0.74*0.0032*(((6.525/5)^1.3)/((D26/2)^1.4))</f>
        <v>2.9290420327906211E-3</v>
      </c>
      <c r="H26" s="340">
        <f t="shared" si="0"/>
        <v>1.3853577182117802E-3</v>
      </c>
      <c r="I26" s="340">
        <f t="shared" si="1"/>
        <v>2.0978274018635531E-4</v>
      </c>
      <c r="J26" s="96">
        <f t="shared" si="3"/>
        <v>0.38201469754924744</v>
      </c>
      <c r="K26" s="367">
        <f t="shared" si="4"/>
        <v>0.18068262721923864</v>
      </c>
      <c r="L26" s="375">
        <f t="shared" si="5"/>
        <v>2.7360512121770431E-2</v>
      </c>
      <c r="N26" s="382">
        <v>94605</v>
      </c>
    </row>
    <row r="27" spans="2:17">
      <c r="B27" s="188" t="s">
        <v>592</v>
      </c>
      <c r="C27" s="368">
        <f t="shared" si="2"/>
        <v>0</v>
      </c>
      <c r="D27" s="96">
        <v>0.2</v>
      </c>
      <c r="E27" s="97">
        <v>6</v>
      </c>
      <c r="F27" s="528">
        <v>70</v>
      </c>
      <c r="G27" s="340">
        <f>0.74*0.0032*(((6.525/5)^1.3)/((D27/2)^1.4))</f>
        <v>8.4076643059657355E-2</v>
      </c>
      <c r="H27" s="340">
        <f t="shared" si="0"/>
        <v>3.9765979825513616E-2</v>
      </c>
      <c r="I27" s="340">
        <f t="shared" si="1"/>
        <v>6.0217055164349196E-3</v>
      </c>
      <c r="J27" s="96">
        <f t="shared" si="3"/>
        <v>0</v>
      </c>
      <c r="K27" s="367">
        <f t="shared" si="4"/>
        <v>0</v>
      </c>
      <c r="L27" s="375">
        <f t="shared" si="5"/>
        <v>0</v>
      </c>
      <c r="N27" s="382">
        <v>0</v>
      </c>
    </row>
    <row r="28" spans="2:17">
      <c r="B28" s="188" t="s">
        <v>593</v>
      </c>
      <c r="C28" s="368">
        <f t="shared" si="2"/>
        <v>152311.52943768533</v>
      </c>
      <c r="D28" s="96" t="s">
        <v>609</v>
      </c>
      <c r="E28" s="97" t="s">
        <v>609</v>
      </c>
      <c r="F28" s="528" t="s">
        <v>609</v>
      </c>
      <c r="G28" s="340" t="s">
        <v>609</v>
      </c>
      <c r="H28" s="340" t="s">
        <v>609</v>
      </c>
      <c r="I28" s="340" t="s">
        <v>609</v>
      </c>
      <c r="J28" s="338" t="s">
        <v>609</v>
      </c>
      <c r="K28" s="338" t="s">
        <v>609</v>
      </c>
      <c r="L28" s="529" t="s">
        <v>609</v>
      </c>
      <c r="N28" s="382">
        <v>99434</v>
      </c>
    </row>
    <row r="29" spans="2:17">
      <c r="B29" s="188" t="s">
        <v>594</v>
      </c>
      <c r="C29" s="368">
        <f t="shared" si="2"/>
        <v>33851.686996481352</v>
      </c>
      <c r="D29" s="96">
        <v>0.92</v>
      </c>
      <c r="E29" s="97">
        <v>6</v>
      </c>
      <c r="F29" s="528">
        <v>70</v>
      </c>
      <c r="G29" s="340">
        <f>0.74*0.0032*(((6.525/5)^1.3)/((D29/2)^1.4))</f>
        <v>9.9269171865301094E-3</v>
      </c>
      <c r="H29" s="340">
        <f>0.35*0.0032*(((6.525/5)^1.3)/((D29/2)^1.4))</f>
        <v>4.6951635341696456E-3</v>
      </c>
      <c r="I29" s="340">
        <f>0.053*0.0032*(((6.525/5)^1.3)/((D29/2)^1.4))</f>
        <v>7.1098190660283216E-4</v>
      </c>
      <c r="J29" s="96">
        <f t="shared" si="3"/>
        <v>0.30243860409456769</v>
      </c>
      <c r="K29" s="367">
        <f t="shared" si="4"/>
        <v>0.14304528572040359</v>
      </c>
      <c r="L29" s="375">
        <f t="shared" si="5"/>
        <v>2.1661143266232551E-2</v>
      </c>
      <c r="N29" s="382">
        <v>22099.5</v>
      </c>
    </row>
    <row r="30" spans="2:17">
      <c r="B30" s="188" t="s">
        <v>595</v>
      </c>
      <c r="C30" s="368">
        <f t="shared" si="2"/>
        <v>0</v>
      </c>
      <c r="D30" s="96">
        <v>7</v>
      </c>
      <c r="E30" s="97">
        <v>6</v>
      </c>
      <c r="F30" s="528">
        <v>70</v>
      </c>
      <c r="G30" s="340">
        <f>0.74*0.0032*(((6.525/5)^1.3)/((D30/2)^1.4))</f>
        <v>5.7940214829298067E-4</v>
      </c>
      <c r="H30" s="340">
        <f>0.35*0.0032*(((6.525/5)^1.3)/((D30/2)^1.4))</f>
        <v>2.7404155662505842E-4</v>
      </c>
      <c r="I30" s="340">
        <f>0.053*0.0032*(((6.525/5)^1.3)/((D30/2)^1.4))</f>
        <v>4.1497721431794565E-5</v>
      </c>
      <c r="J30" s="96">
        <f t="shared" si="3"/>
        <v>0</v>
      </c>
      <c r="K30" s="367">
        <f t="shared" si="4"/>
        <v>0</v>
      </c>
      <c r="L30" s="375">
        <f t="shared" si="5"/>
        <v>0</v>
      </c>
      <c r="N30" s="382">
        <v>0</v>
      </c>
    </row>
    <row r="31" spans="2:17">
      <c r="B31" s="188" t="s">
        <v>596</v>
      </c>
      <c r="C31" s="368">
        <f t="shared" si="2"/>
        <v>121280.6248844276</v>
      </c>
      <c r="D31" s="96">
        <v>7.8</v>
      </c>
      <c r="E31" s="97">
        <v>6</v>
      </c>
      <c r="F31" s="528">
        <v>70</v>
      </c>
      <c r="G31" s="340">
        <f>0.74*0.0032*(((6.525/5)^1.3)/((D31/2)^1.4))</f>
        <v>4.9794905600892604E-4</v>
      </c>
      <c r="H31" s="340">
        <f>0.35*0.0032*(((6.525/5)^1.3)/((D31/2)^1.4))</f>
        <v>2.3551644540962719E-4</v>
      </c>
      <c r="I31" s="340">
        <f>0.053*0.0032*(((6.525/5)^1.3)/((D31/2)^1.4))</f>
        <v>3.5663918876314976E-5</v>
      </c>
      <c r="J31" s="96">
        <f t="shared" si="3"/>
        <v>5.4352415406036053E-2</v>
      </c>
      <c r="K31" s="367">
        <f t="shared" si="4"/>
        <v>2.5707223502854891E-2</v>
      </c>
      <c r="L31" s="375">
        <f t="shared" si="5"/>
        <v>3.8928081304323123E-3</v>
      </c>
      <c r="N31" s="382">
        <v>79176</v>
      </c>
    </row>
    <row r="32" spans="2:17" ht="13.5" thickBot="1">
      <c r="B32" s="104" t="s">
        <v>597</v>
      </c>
      <c r="C32" s="378">
        <f t="shared" si="2"/>
        <v>1438569.9421252734</v>
      </c>
      <c r="D32" s="376">
        <v>7.8</v>
      </c>
      <c r="E32" s="128">
        <v>4</v>
      </c>
      <c r="F32" s="530">
        <v>70</v>
      </c>
      <c r="G32" s="532">
        <f>0.74*0.0032*(((6.525/5)^1.3)/((D32/2)^1.4))</f>
        <v>4.9794905600892604E-4</v>
      </c>
      <c r="H32" s="532">
        <f>0.35*0.0032*(((6.525/5)^1.3)/((D32/2)^1.4))</f>
        <v>2.3551644540962719E-4</v>
      </c>
      <c r="I32" s="532">
        <f>0.053*0.0032*(((6.525/5)^1.3)/((D32/2)^1.4))</f>
        <v>3.5663918876314976E-5</v>
      </c>
      <c r="J32" s="376">
        <f t="shared" si="3"/>
        <v>0.42980072681045717</v>
      </c>
      <c r="K32" s="377">
        <f t="shared" si="4"/>
        <v>0.20328412754548653</v>
      </c>
      <c r="L32" s="379">
        <f t="shared" si="5"/>
        <v>3.0783025028316525E-2</v>
      </c>
      <c r="N32" s="382">
        <v>939146</v>
      </c>
    </row>
    <row r="33" spans="1:17" s="114" customFormat="1">
      <c r="B33" s="360" t="s">
        <v>611</v>
      </c>
      <c r="C33" s="358"/>
      <c r="D33" s="386"/>
      <c r="E33" s="358"/>
      <c r="F33" s="387"/>
      <c r="G33" s="388"/>
      <c r="H33" s="388"/>
      <c r="I33" s="386"/>
      <c r="J33" s="386">
        <f>SUM(J22:J32)</f>
        <v>11.029179535114041</v>
      </c>
      <c r="K33" s="386">
        <f t="shared" ref="K33:L33" si="6">SUM(K22:K32)</f>
        <v>5.2165038341755601</v>
      </c>
      <c r="L33" s="386">
        <f t="shared" si="6"/>
        <v>0.78992772346087081</v>
      </c>
    </row>
    <row r="35" spans="1:17" s="11" customFormat="1">
      <c r="B35" s="802" t="s">
        <v>613</v>
      </c>
      <c r="C35" s="802"/>
      <c r="D35" s="802"/>
      <c r="E35" s="802"/>
      <c r="F35" s="802"/>
      <c r="G35" s="802"/>
      <c r="H35" s="802"/>
      <c r="I35" s="802"/>
      <c r="J35" s="802"/>
      <c r="K35" s="802"/>
      <c r="L35" s="802"/>
      <c r="M35" s="802"/>
    </row>
    <row r="36" spans="1:17" ht="13.5" thickBot="1">
      <c r="B36" s="380"/>
      <c r="C36" s="93"/>
      <c r="D36" s="93"/>
      <c r="E36" s="93"/>
      <c r="F36" s="93"/>
      <c r="G36" s="93"/>
      <c r="H36" s="93"/>
      <c r="I36" s="93"/>
      <c r="J36" s="93"/>
      <c r="K36" s="93"/>
      <c r="L36" s="93"/>
    </row>
    <row r="37" spans="1:17" ht="6" customHeight="1">
      <c r="B37" s="361"/>
      <c r="C37" s="362"/>
      <c r="D37" s="362"/>
      <c r="E37" s="362"/>
      <c r="F37" s="362"/>
      <c r="G37" s="362"/>
      <c r="H37" s="362"/>
      <c r="I37" s="362"/>
      <c r="J37" s="362"/>
      <c r="K37" s="362"/>
      <c r="L37" s="363"/>
    </row>
    <row r="38" spans="1:17" ht="14.45" customHeight="1">
      <c r="B38" s="803" t="s">
        <v>586</v>
      </c>
      <c r="C38" s="396" t="s">
        <v>601</v>
      </c>
      <c r="D38" s="396" t="s">
        <v>599</v>
      </c>
      <c r="E38" s="396" t="s">
        <v>603</v>
      </c>
      <c r="F38" s="395" t="s">
        <v>363</v>
      </c>
      <c r="G38" s="358" t="s">
        <v>64</v>
      </c>
      <c r="H38" s="358" t="s">
        <v>495</v>
      </c>
      <c r="I38" s="358" t="s">
        <v>496</v>
      </c>
      <c r="J38" s="358" t="s">
        <v>64</v>
      </c>
      <c r="K38" s="358" t="s">
        <v>495</v>
      </c>
      <c r="L38" s="100" t="s">
        <v>496</v>
      </c>
    </row>
    <row r="39" spans="1:17">
      <c r="B39" s="803"/>
      <c r="C39" s="396" t="s">
        <v>614</v>
      </c>
      <c r="D39" s="396" t="s">
        <v>600</v>
      </c>
      <c r="E39" s="396" t="s">
        <v>604</v>
      </c>
      <c r="F39" s="395" t="s">
        <v>367</v>
      </c>
      <c r="G39" s="358" t="s">
        <v>610</v>
      </c>
      <c r="H39" s="358" t="s">
        <v>610</v>
      </c>
      <c r="I39" s="358" t="s">
        <v>610</v>
      </c>
      <c r="J39" s="358" t="s">
        <v>366</v>
      </c>
      <c r="K39" s="358" t="s">
        <v>366</v>
      </c>
      <c r="L39" s="100" t="s">
        <v>366</v>
      </c>
      <c r="N39" s="92" t="s">
        <v>608</v>
      </c>
      <c r="P39" s="92" t="s">
        <v>411</v>
      </c>
    </row>
    <row r="40" spans="1:17">
      <c r="B40" s="803"/>
      <c r="C40" s="396" t="s">
        <v>598</v>
      </c>
      <c r="D40" s="396" t="s">
        <v>376</v>
      </c>
      <c r="E40" s="396" t="s">
        <v>605</v>
      </c>
      <c r="F40" s="358" t="s">
        <v>376</v>
      </c>
      <c r="G40" s="358" t="s">
        <v>606</v>
      </c>
      <c r="H40" s="358" t="s">
        <v>606</v>
      </c>
      <c r="I40" s="358" t="s">
        <v>606</v>
      </c>
      <c r="J40" s="358" t="s">
        <v>494</v>
      </c>
      <c r="K40" s="358" t="s">
        <v>494</v>
      </c>
      <c r="L40" s="100" t="s">
        <v>494</v>
      </c>
    </row>
    <row r="41" spans="1:17" ht="6" customHeight="1" thickBot="1">
      <c r="B41" s="364"/>
      <c r="C41" s="365"/>
      <c r="D41" s="365"/>
      <c r="E41" s="365"/>
      <c r="F41" s="365"/>
      <c r="G41" s="365"/>
      <c r="H41" s="365"/>
      <c r="I41" s="365"/>
      <c r="J41" s="365"/>
      <c r="K41" s="365"/>
      <c r="L41" s="98"/>
    </row>
    <row r="42" spans="1:17" ht="13.5" thickBot="1">
      <c r="B42" s="533" t="s">
        <v>614</v>
      </c>
      <c r="C42" s="534">
        <f>N42/$P$22*$C$13</f>
        <v>13769.217150223802</v>
      </c>
      <c r="D42" s="535">
        <v>11.6</v>
      </c>
      <c r="E42" s="536">
        <v>1</v>
      </c>
      <c r="F42" s="537">
        <v>0</v>
      </c>
      <c r="G42" s="538">
        <f>0.74*0.0032*(((6.525/5)^1.3)/((D42/2)^1.4))</f>
        <v>2.8567758919991392E-4</v>
      </c>
      <c r="H42" s="538">
        <f>0.35*0.0032*(((6.525/5)^1.3)/((D42/2)^1.4))</f>
        <v>1.3511777867563496E-4</v>
      </c>
      <c r="I42" s="538">
        <f>0.053*0.0032*(((6.525/5)^1.3)/((D42/2)^1.4))</f>
        <v>2.0460692199453295E-5</v>
      </c>
      <c r="J42" s="540">
        <f>C42*G42*E42*(100-F42)%/2000</f>
        <v>1.9667783803230224E-3</v>
      </c>
      <c r="K42" s="540">
        <f>C42*E42*H42*(100-F42)%/2000</f>
        <v>9.3023301772034834E-4</v>
      </c>
      <c r="L42" s="541">
        <f>C42*E42*I42*(100-F42)%/2000</f>
        <v>1.4086385696908133E-4</v>
      </c>
      <c r="N42" s="382">
        <v>8989</v>
      </c>
      <c r="P42" s="381">
        <v>2287527</v>
      </c>
      <c r="Q42" s="92" t="s">
        <v>144</v>
      </c>
    </row>
    <row r="45" spans="1:17">
      <c r="B45" s="397" t="s">
        <v>125</v>
      </c>
    </row>
    <row r="46" spans="1:17">
      <c r="B46" s="90" t="s">
        <v>615</v>
      </c>
      <c r="I46" s="90"/>
      <c r="J46" s="90"/>
      <c r="L46" s="90"/>
    </row>
    <row r="47" spans="1:17" ht="32.450000000000003" customHeight="1">
      <c r="B47" s="811" t="s">
        <v>616</v>
      </c>
      <c r="C47" s="811"/>
      <c r="D47" s="811"/>
      <c r="E47" s="811"/>
      <c r="F47" s="811"/>
      <c r="G47" s="811"/>
      <c r="H47" s="811"/>
      <c r="I47" s="811"/>
      <c r="J47" s="811"/>
      <c r="K47" s="811"/>
      <c r="L47" s="811"/>
    </row>
    <row r="48" spans="1:17">
      <c r="A48" s="356" t="s">
        <v>612</v>
      </c>
      <c r="I48" s="90"/>
      <c r="J48" s="90"/>
      <c r="L48" s="90"/>
    </row>
  </sheetData>
  <mergeCells count="5">
    <mergeCell ref="B38:B40"/>
    <mergeCell ref="B47:L47"/>
    <mergeCell ref="B35:M35"/>
    <mergeCell ref="B15:M15"/>
    <mergeCell ref="B18:B20"/>
  </mergeCells>
  <pageMargins left="0.2" right="0.2" top="0.5" bottom="0.5" header="0.05" footer="0.05"/>
  <pageSetup scale="71" fitToHeight="3" orientation="landscape" horizontalDpi="1200" verticalDpi="120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F91EB-D7BE-42C8-8731-EAC58B288588}">
  <dimension ref="B1:K74"/>
  <sheetViews>
    <sheetView topLeftCell="A64" zoomScale="140" zoomScaleNormal="140" zoomScaleSheetLayoutView="100" workbookViewId="0">
      <selection activeCell="D71" sqref="D71"/>
    </sheetView>
  </sheetViews>
  <sheetFormatPr defaultColWidth="9.140625" defaultRowHeight="12.75"/>
  <cols>
    <col min="1" max="1" width="2.42578125" style="90" customWidth="1"/>
    <col min="2" max="2" width="32.85546875" style="90" customWidth="1"/>
    <col min="3" max="6" width="11.7109375" style="90" customWidth="1"/>
    <col min="7" max="7" width="44.7109375" style="90" bestFit="1" customWidth="1"/>
    <col min="8" max="8" width="15.85546875" style="90" bestFit="1" customWidth="1"/>
    <col min="9" max="10" width="9.140625" style="92"/>
    <col min="11" max="16384" width="9.140625" style="90"/>
  </cols>
  <sheetData>
    <row r="1" spans="2:11" s="1" customFormat="1" ht="11.25" customHeight="1">
      <c r="I1" s="304"/>
      <c r="J1" s="304"/>
    </row>
    <row r="2" spans="2:11" s="6" customFormat="1">
      <c r="B2" s="5" t="str">
        <f>'Key Inputs'!B2</f>
        <v>Company Name:</v>
      </c>
      <c r="C2" s="279" t="str">
        <f>'Key Inputs'!C2</f>
        <v>U. S. Steel Corp.</v>
      </c>
      <c r="F2" s="5"/>
      <c r="I2" s="305"/>
      <c r="J2" s="305"/>
    </row>
    <row r="3" spans="2:11" s="6" customFormat="1">
      <c r="B3" s="5" t="str">
        <f>'Key Inputs'!B3</f>
        <v>Site Name:</v>
      </c>
      <c r="C3" s="279" t="str">
        <f>'Key Inputs'!C3</f>
        <v>Edgar Thomson Plant</v>
      </c>
      <c r="F3" s="5"/>
      <c r="I3" s="305"/>
      <c r="J3" s="305"/>
    </row>
    <row r="4" spans="2:11" s="6" customFormat="1">
      <c r="B4" s="5" t="str">
        <f>'Key Inputs'!B4</f>
        <v>Description:</v>
      </c>
      <c r="C4" s="279" t="str">
        <f>'Key Inputs'!C4</f>
        <v>Title V Permit Renewal</v>
      </c>
      <c r="F4" s="5"/>
      <c r="I4" s="305"/>
      <c r="J4" s="305"/>
    </row>
    <row r="5" spans="2:11" s="6" customFormat="1">
      <c r="B5" s="5" t="str">
        <f>'Key Inputs'!B5</f>
        <v>Date:</v>
      </c>
      <c r="C5" s="281" t="str">
        <f>'Key Inputs'!C5</f>
        <v>10/7/2020 - DRAFT</v>
      </c>
      <c r="F5" s="5"/>
      <c r="I5" s="305"/>
      <c r="J5" s="305"/>
    </row>
    <row r="6" spans="2:11" s="6" customFormat="1">
      <c r="B6" s="5"/>
      <c r="C6" s="183"/>
      <c r="D6" s="5"/>
      <c r="F6" s="5"/>
      <c r="I6" s="305"/>
      <c r="J6" s="305"/>
    </row>
    <row r="7" spans="2:11" s="11" customFormat="1">
      <c r="B7" s="10" t="s">
        <v>618</v>
      </c>
      <c r="C7" s="10"/>
      <c r="D7" s="10"/>
      <c r="F7" s="10"/>
      <c r="I7" s="306"/>
      <c r="J7" s="306"/>
    </row>
    <row r="8" spans="2:11" s="16" customFormat="1">
      <c r="B8" s="14"/>
      <c r="C8" s="15"/>
      <c r="I8" s="304"/>
      <c r="J8" s="304"/>
    </row>
    <row r="9" spans="2:11" s="18" customFormat="1">
      <c r="B9" s="20" t="s">
        <v>25</v>
      </c>
      <c r="C9" s="20" t="s">
        <v>584</v>
      </c>
      <c r="D9" s="20"/>
      <c r="E9" s="21"/>
      <c r="I9" s="307"/>
      <c r="J9" s="307"/>
    </row>
    <row r="10" spans="2:11" s="18" customFormat="1">
      <c r="B10" s="20" t="s">
        <v>56</v>
      </c>
      <c r="C10" s="23" t="s">
        <v>21</v>
      </c>
      <c r="D10" s="20"/>
      <c r="E10" s="21"/>
      <c r="I10" s="307"/>
      <c r="J10" s="307"/>
    </row>
    <row r="11" spans="2:11" s="18" customFormat="1">
      <c r="B11" s="20" t="s">
        <v>291</v>
      </c>
      <c r="C11" s="23" t="s">
        <v>16</v>
      </c>
      <c r="D11" s="20"/>
      <c r="E11" s="21"/>
      <c r="I11" s="307"/>
      <c r="J11" s="307"/>
    </row>
    <row r="12" spans="2:11" s="18" customFormat="1">
      <c r="B12" s="20" t="s">
        <v>26</v>
      </c>
      <c r="C12" s="24">
        <f>'Key Inputs'!$G$22</f>
        <v>8760</v>
      </c>
      <c r="D12" s="21" t="s">
        <v>10</v>
      </c>
      <c r="E12" s="21"/>
      <c r="G12" s="87"/>
      <c r="I12" s="307"/>
      <c r="J12" s="307"/>
    </row>
    <row r="13" spans="2:11" s="18" customFormat="1">
      <c r="B13" s="20" t="s">
        <v>95</v>
      </c>
      <c r="C13" s="24">
        <f>I13/I14*I15</f>
        <v>261126.7124606772</v>
      </c>
      <c r="D13" s="21" t="s">
        <v>454</v>
      </c>
      <c r="E13" s="21"/>
      <c r="G13" s="87"/>
      <c r="H13" s="307" t="s">
        <v>455</v>
      </c>
      <c r="I13" s="429">
        <v>190820</v>
      </c>
      <c r="J13" s="307" t="s">
        <v>456</v>
      </c>
    </row>
    <row r="14" spans="2:11" s="18" customFormat="1">
      <c r="B14" s="186"/>
      <c r="C14" s="169"/>
      <c r="D14" s="168"/>
      <c r="G14" s="87"/>
      <c r="H14" s="307" t="s">
        <v>457</v>
      </c>
      <c r="I14" s="429">
        <v>2533897.6</v>
      </c>
      <c r="J14" s="307" t="s">
        <v>412</v>
      </c>
    </row>
    <row r="15" spans="2:11" s="11" customFormat="1">
      <c r="B15" s="329" t="s">
        <v>453</v>
      </c>
      <c r="C15" s="329"/>
      <c r="D15" s="329"/>
      <c r="E15" s="330"/>
      <c r="F15" s="329"/>
      <c r="G15" s="331"/>
      <c r="H15" s="306" t="s">
        <v>458</v>
      </c>
      <c r="I15" s="430">
        <f>'Key Inputs'!E18</f>
        <v>3467500</v>
      </c>
      <c r="J15" s="306" t="s">
        <v>412</v>
      </c>
      <c r="K15" s="306"/>
    </row>
    <row r="16" spans="2:11">
      <c r="B16" s="114" t="s">
        <v>356</v>
      </c>
      <c r="C16" s="132">
        <v>0.2</v>
      </c>
      <c r="D16" s="91" t="s">
        <v>13</v>
      </c>
    </row>
    <row r="17" spans="2:10">
      <c r="B17" s="114" t="s">
        <v>355</v>
      </c>
      <c r="C17" s="351">
        <v>6.5250000000000004</v>
      </c>
      <c r="D17" s="91" t="s">
        <v>132</v>
      </c>
    </row>
    <row r="18" spans="2:10">
      <c r="B18" s="114" t="s">
        <v>354</v>
      </c>
      <c r="C18" s="123">
        <v>0.74</v>
      </c>
      <c r="D18" s="90" t="s">
        <v>136</v>
      </c>
    </row>
    <row r="19" spans="2:10">
      <c r="B19" s="114" t="s">
        <v>354</v>
      </c>
      <c r="C19" s="132">
        <v>0.35</v>
      </c>
      <c r="D19" s="91" t="s">
        <v>137</v>
      </c>
      <c r="E19" s="91"/>
    </row>
    <row r="20" spans="2:10">
      <c r="B20" s="114" t="s">
        <v>354</v>
      </c>
      <c r="C20" s="132">
        <v>5.2999999999999999E-2</v>
      </c>
      <c r="D20" s="91" t="s">
        <v>138</v>
      </c>
      <c r="E20" s="91"/>
    </row>
    <row r="21" spans="2:10">
      <c r="B21" s="114" t="s">
        <v>14</v>
      </c>
      <c r="C21" s="131" t="s">
        <v>459</v>
      </c>
    </row>
    <row r="22" spans="2:10">
      <c r="B22" s="114" t="s">
        <v>63</v>
      </c>
      <c r="C22" s="123">
        <v>70</v>
      </c>
      <c r="D22" s="90" t="s">
        <v>13</v>
      </c>
    </row>
    <row r="23" spans="2:10" ht="8.25" customHeight="1" thickBot="1">
      <c r="B23" s="114"/>
    </row>
    <row r="24" spans="2:10" s="18" customFormat="1" ht="6" customHeight="1">
      <c r="B24" s="28"/>
      <c r="C24" s="29"/>
      <c r="D24" s="30"/>
      <c r="E24" s="31"/>
      <c r="F24" s="31"/>
      <c r="G24" s="32"/>
      <c r="I24" s="307"/>
      <c r="J24" s="307"/>
    </row>
    <row r="25" spans="2:10" s="37" customFormat="1" ht="38.25">
      <c r="B25" s="33" t="s">
        <v>32</v>
      </c>
      <c r="C25" s="34" t="s">
        <v>97</v>
      </c>
      <c r="D25" s="34" t="s">
        <v>33</v>
      </c>
      <c r="E25" s="34" t="s">
        <v>34</v>
      </c>
      <c r="F25" s="34" t="s">
        <v>35</v>
      </c>
      <c r="G25" s="35" t="s">
        <v>36</v>
      </c>
      <c r="I25" s="308"/>
      <c r="J25" s="308"/>
    </row>
    <row r="26" spans="2:10" s="18" customFormat="1" ht="6" customHeight="1" thickBot="1">
      <c r="B26" s="38"/>
      <c r="C26" s="39"/>
      <c r="D26" s="40"/>
      <c r="E26" s="41"/>
      <c r="F26" s="41"/>
      <c r="G26" s="42"/>
      <c r="I26" s="307"/>
      <c r="J26" s="307"/>
    </row>
    <row r="27" spans="2:10" s="18" customFormat="1" ht="6" customHeight="1">
      <c r="B27" s="28"/>
      <c r="C27" s="29"/>
      <c r="D27" s="30"/>
      <c r="E27" s="31"/>
      <c r="F27" s="31"/>
      <c r="G27" s="32"/>
      <c r="I27" s="307"/>
      <c r="J27" s="307"/>
    </row>
    <row r="28" spans="2:10" s="16" customFormat="1">
      <c r="B28" s="43" t="s">
        <v>37</v>
      </c>
      <c r="C28" s="44"/>
      <c r="D28" s="45"/>
      <c r="E28" s="46"/>
      <c r="F28" s="46"/>
      <c r="G28" s="47"/>
      <c r="I28" s="304"/>
      <c r="J28" s="304"/>
    </row>
    <row r="29" spans="2:10" s="16" customFormat="1">
      <c r="B29" s="48" t="s">
        <v>38</v>
      </c>
      <c r="C29" s="49">
        <f>D29*2000/$C$12</f>
        <v>0.75187182866089508</v>
      </c>
      <c r="D29" s="50">
        <f>E29*$C$13*(100-$C$22)%/2000</f>
        <v>3.2931986095347208</v>
      </c>
      <c r="E29" s="433">
        <f>(0.0032*C18*(C17/5)^1.3/(C16/2)^1.4)</f>
        <v>8.4076643059657369E-2</v>
      </c>
      <c r="F29" s="52" t="s">
        <v>5</v>
      </c>
      <c r="G29" s="352" t="s">
        <v>462</v>
      </c>
      <c r="I29" s="304"/>
      <c r="J29" s="304"/>
    </row>
    <row r="30" spans="2:10" s="16" customFormat="1" ht="14.25">
      <c r="B30" s="48" t="s">
        <v>146</v>
      </c>
      <c r="C30" s="49">
        <f>D30*2000/$C$12</f>
        <v>0.35561505409636929</v>
      </c>
      <c r="D30" s="50">
        <f t="shared" ref="D30:D31" si="0">E30*$C$13*(100-$C$22)%/2000</f>
        <v>1.5575939369420975</v>
      </c>
      <c r="E30" s="433">
        <f>(0.0032*C19*(C17/5)^1.3/(C16/2)^1.4)</f>
        <v>3.9765979825513616E-2</v>
      </c>
      <c r="F30" s="52" t="s">
        <v>5</v>
      </c>
      <c r="G30" s="352" t="s">
        <v>462</v>
      </c>
      <c r="I30" s="304"/>
      <c r="J30" s="304"/>
    </row>
    <row r="31" spans="2:10" s="16" customFormat="1" ht="15" thickBot="1">
      <c r="B31" s="343" t="s">
        <v>147</v>
      </c>
      <c r="C31" s="181">
        <f>D31*2000/$C$12</f>
        <v>5.3850279620307362E-2</v>
      </c>
      <c r="D31" s="431">
        <f t="shared" si="0"/>
        <v>0.23586422473694627</v>
      </c>
      <c r="E31" s="434">
        <f>(0.0032*C20*(C17/5)^1.3/(C16/2)^1.4)</f>
        <v>6.0217055164349196E-3</v>
      </c>
      <c r="F31" s="241" t="s">
        <v>5</v>
      </c>
      <c r="G31" s="352" t="s">
        <v>462</v>
      </c>
      <c r="I31" s="304"/>
      <c r="J31" s="304"/>
    </row>
    <row r="33" spans="2:11" s="11" customFormat="1">
      <c r="B33" s="329" t="s">
        <v>460</v>
      </c>
      <c r="C33" s="329"/>
      <c r="D33" s="329"/>
      <c r="E33" s="330"/>
      <c r="F33" s="329"/>
      <c r="G33" s="331"/>
      <c r="H33" s="306"/>
      <c r="I33" s="430"/>
      <c r="J33" s="306"/>
      <c r="K33" s="306"/>
    </row>
    <row r="35" spans="2:11" s="18" customFormat="1">
      <c r="B35" s="20" t="s">
        <v>95</v>
      </c>
      <c r="C35" s="24">
        <f>'7. BOP SEC BH (P003-5,6,8)'!C15</f>
        <v>66748.651366179911</v>
      </c>
      <c r="D35" s="21" t="s">
        <v>461</v>
      </c>
      <c r="E35" s="21"/>
      <c r="G35" s="87"/>
      <c r="H35" s="307"/>
      <c r="I35" s="429"/>
      <c r="J35" s="307"/>
    </row>
    <row r="36" spans="2:11" s="18" customFormat="1">
      <c r="B36" s="20" t="s">
        <v>63</v>
      </c>
      <c r="C36" s="24">
        <v>99</v>
      </c>
      <c r="D36" s="21" t="s">
        <v>13</v>
      </c>
      <c r="E36" s="765"/>
      <c r="G36" s="766"/>
      <c r="H36" s="307"/>
      <c r="I36" s="429"/>
      <c r="J36" s="307"/>
    </row>
    <row r="37" spans="2:11" s="18" customFormat="1" ht="13.5" thickBot="1">
      <c r="B37" s="20"/>
      <c r="C37" s="24"/>
      <c r="D37" s="21"/>
      <c r="E37" s="21"/>
      <c r="G37" s="87"/>
      <c r="H37" s="307"/>
      <c r="I37" s="429"/>
      <c r="J37" s="307"/>
    </row>
    <row r="38" spans="2:11" s="18" customFormat="1" ht="6" customHeight="1">
      <c r="B38" s="28"/>
      <c r="C38" s="29"/>
      <c r="D38" s="30"/>
      <c r="E38" s="31"/>
      <c r="F38" s="31"/>
      <c r="G38" s="32"/>
      <c r="I38" s="307"/>
      <c r="J38" s="307"/>
    </row>
    <row r="39" spans="2:11" s="37" customFormat="1" ht="38.25">
      <c r="B39" s="33" t="s">
        <v>32</v>
      </c>
      <c r="C39" s="34" t="s">
        <v>97</v>
      </c>
      <c r="D39" s="34" t="s">
        <v>33</v>
      </c>
      <c r="E39" s="34" t="s">
        <v>34</v>
      </c>
      <c r="F39" s="34" t="s">
        <v>35</v>
      </c>
      <c r="G39" s="35" t="s">
        <v>36</v>
      </c>
      <c r="I39" s="308"/>
      <c r="J39" s="308"/>
    </row>
    <row r="40" spans="2:11" s="18" customFormat="1" ht="6" customHeight="1" thickBot="1">
      <c r="B40" s="38"/>
      <c r="C40" s="39"/>
      <c r="D40" s="40"/>
      <c r="E40" s="41"/>
      <c r="F40" s="41"/>
      <c r="G40" s="42"/>
      <c r="I40" s="307"/>
      <c r="J40" s="307"/>
    </row>
    <row r="41" spans="2:11" s="18" customFormat="1" ht="6" customHeight="1">
      <c r="B41" s="28"/>
      <c r="C41" s="29"/>
      <c r="D41" s="30"/>
      <c r="E41" s="31"/>
      <c r="F41" s="31"/>
      <c r="G41" s="32"/>
      <c r="I41" s="307"/>
      <c r="J41" s="307"/>
    </row>
    <row r="42" spans="2:11">
      <c r="B42" s="43" t="s">
        <v>37</v>
      </c>
      <c r="C42" s="44"/>
      <c r="D42" s="45"/>
      <c r="E42" s="46"/>
      <c r="F42" s="46"/>
      <c r="G42" s="47"/>
    </row>
    <row r="43" spans="2:11">
      <c r="B43" s="48" t="s">
        <v>38</v>
      </c>
      <c r="C43" s="49">
        <f>D43*2000/$C$12</f>
        <v>1.4477447214125781E-2</v>
      </c>
      <c r="D43" s="50">
        <f>E43*$C$35/2000*(100-$C$36)%</f>
        <v>6.3411218797870914E-2</v>
      </c>
      <c r="E43" s="433">
        <f>0.19</f>
        <v>0.19</v>
      </c>
      <c r="F43" s="52" t="s">
        <v>5</v>
      </c>
      <c r="G43" s="352" t="s">
        <v>463</v>
      </c>
    </row>
    <row r="44" spans="2:11" ht="14.25">
      <c r="B44" s="48" t="s">
        <v>146</v>
      </c>
      <c r="C44" s="49">
        <f>D44*2000/$C$12</f>
        <v>6.5148512463566012E-3</v>
      </c>
      <c r="D44" s="50">
        <f t="shared" ref="D44:D45" si="1">E44*$C$35/2000*(100-$C$36)%</f>
        <v>2.8535048459041912E-2</v>
      </c>
      <c r="E44" s="433">
        <f>E43*45%</f>
        <v>8.5500000000000007E-2</v>
      </c>
      <c r="F44" s="52" t="s">
        <v>5</v>
      </c>
      <c r="G44" s="302" t="s">
        <v>439</v>
      </c>
    </row>
    <row r="45" spans="2:11" ht="15" thickBot="1">
      <c r="B45" s="343" t="s">
        <v>147</v>
      </c>
      <c r="C45" s="767">
        <f>D45*2000/$C$12</f>
        <v>3.1850383871076717E-3</v>
      </c>
      <c r="D45" s="431">
        <f t="shared" si="1"/>
        <v>1.3950468135531602E-2</v>
      </c>
      <c r="E45" s="434">
        <f>E43*22%</f>
        <v>4.1800000000000004E-2</v>
      </c>
      <c r="F45" s="241" t="s">
        <v>5</v>
      </c>
      <c r="G45" s="435" t="s">
        <v>464</v>
      </c>
    </row>
    <row r="46" spans="2:11">
      <c r="G46" s="362"/>
    </row>
    <row r="47" spans="2:11" s="11" customFormat="1">
      <c r="B47" s="329" t="s">
        <v>465</v>
      </c>
      <c r="C47" s="329"/>
      <c r="D47" s="329"/>
      <c r="E47" s="330"/>
      <c r="F47" s="329"/>
      <c r="G47" s="347"/>
      <c r="H47" s="306"/>
      <c r="I47" s="430"/>
      <c r="J47" s="306"/>
      <c r="K47" s="306"/>
    </row>
    <row r="48" spans="2:11">
      <c r="G48" s="93"/>
    </row>
    <row r="49" spans="2:11" s="18" customFormat="1">
      <c r="B49" s="20" t="s">
        <v>95</v>
      </c>
      <c r="C49" s="24">
        <f>'Key Inputs'!E18</f>
        <v>3467500</v>
      </c>
      <c r="D49" s="21" t="s">
        <v>466</v>
      </c>
      <c r="E49" s="21"/>
      <c r="G49" s="436"/>
      <c r="H49" s="307"/>
      <c r="I49" s="429"/>
      <c r="J49" s="307"/>
    </row>
    <row r="50" spans="2:11" s="18" customFormat="1">
      <c r="B50" s="20" t="s">
        <v>63</v>
      </c>
      <c r="C50" s="24">
        <v>99</v>
      </c>
      <c r="D50" s="21" t="s">
        <v>13</v>
      </c>
      <c r="E50" s="21"/>
      <c r="G50" s="436"/>
      <c r="H50" s="307"/>
      <c r="I50" s="429"/>
      <c r="J50" s="307"/>
    </row>
    <row r="51" spans="2:11" s="18" customFormat="1" ht="13.5" thickBot="1">
      <c r="B51" s="20"/>
      <c r="C51" s="24"/>
      <c r="D51" s="21"/>
      <c r="E51" s="21"/>
      <c r="G51" s="437"/>
      <c r="H51" s="307"/>
      <c r="I51" s="429"/>
      <c r="J51" s="307"/>
    </row>
    <row r="52" spans="2:11" s="18" customFormat="1" ht="6" customHeight="1">
      <c r="B52" s="28"/>
      <c r="C52" s="29"/>
      <c r="D52" s="30"/>
      <c r="E52" s="31"/>
      <c r="F52" s="31"/>
      <c r="G52" s="32"/>
      <c r="I52" s="307"/>
      <c r="J52" s="307"/>
    </row>
    <row r="53" spans="2:11" s="37" customFormat="1" ht="38.25">
      <c r="B53" s="33" t="s">
        <v>32</v>
      </c>
      <c r="C53" s="34" t="s">
        <v>97</v>
      </c>
      <c r="D53" s="34" t="s">
        <v>33</v>
      </c>
      <c r="E53" s="34" t="s">
        <v>34</v>
      </c>
      <c r="F53" s="34" t="s">
        <v>35</v>
      </c>
      <c r="G53" s="35" t="s">
        <v>36</v>
      </c>
      <c r="I53" s="308"/>
      <c r="J53" s="308"/>
    </row>
    <row r="54" spans="2:11" s="18" customFormat="1" ht="6" customHeight="1" thickBot="1">
      <c r="B54" s="38"/>
      <c r="C54" s="39"/>
      <c r="D54" s="40"/>
      <c r="E54" s="41"/>
      <c r="F54" s="41"/>
      <c r="G54" s="42"/>
      <c r="I54" s="307"/>
      <c r="J54" s="307"/>
    </row>
    <row r="55" spans="2:11" s="18" customFormat="1" ht="6" customHeight="1">
      <c r="B55" s="28"/>
      <c r="C55" s="29"/>
      <c r="D55" s="30"/>
      <c r="E55" s="31"/>
      <c r="F55" s="31"/>
      <c r="G55" s="32"/>
      <c r="I55" s="307"/>
      <c r="J55" s="307"/>
    </row>
    <row r="56" spans="2:11">
      <c r="B56" s="43" t="s">
        <v>37</v>
      </c>
      <c r="C56" s="44"/>
      <c r="D56" s="45"/>
      <c r="E56" s="46"/>
      <c r="F56" s="46"/>
      <c r="G56" s="47"/>
    </row>
    <row r="57" spans="2:11">
      <c r="B57" s="48" t="s">
        <v>38</v>
      </c>
      <c r="C57" s="49">
        <f>D57*2000/$C$12</f>
        <v>3.6416666666666666</v>
      </c>
      <c r="D57" s="50">
        <f>E57*$C$49/2000*(100-$C$50)%</f>
        <v>15.9505</v>
      </c>
      <c r="E57" s="433">
        <f>0.92</f>
        <v>0.92</v>
      </c>
      <c r="F57" s="52" t="s">
        <v>5</v>
      </c>
      <c r="G57" s="352" t="s">
        <v>450</v>
      </c>
    </row>
    <row r="58" spans="2:11" ht="14.25">
      <c r="B58" s="48" t="s">
        <v>146</v>
      </c>
      <c r="C58" s="49">
        <f>D58*2000/$C$12</f>
        <v>1.6229166666666666</v>
      </c>
      <c r="D58" s="50">
        <f>E58*$C$49/2000*(100-$C$50)%</f>
        <v>7.1083749999999997</v>
      </c>
      <c r="E58" s="433">
        <f>0.41</f>
        <v>0.41</v>
      </c>
      <c r="F58" s="52" t="s">
        <v>5</v>
      </c>
      <c r="G58" s="352" t="s">
        <v>450</v>
      </c>
    </row>
    <row r="59" spans="2:11" ht="15" thickBot="1">
      <c r="B59" s="343" t="s">
        <v>147</v>
      </c>
      <c r="C59" s="181">
        <f>D59*2000/$C$12</f>
        <v>1.3458333333333334</v>
      </c>
      <c r="D59" s="431">
        <f>E59*$C$49/2000*(100-$C$50)%</f>
        <v>5.8947500000000002</v>
      </c>
      <c r="E59" s="434">
        <f>0.34</f>
        <v>0.34</v>
      </c>
      <c r="F59" s="241" t="s">
        <v>5</v>
      </c>
      <c r="G59" s="432" t="s">
        <v>450</v>
      </c>
    </row>
    <row r="60" spans="2:11">
      <c r="G60" s="362"/>
    </row>
    <row r="61" spans="2:11" s="11" customFormat="1" ht="15">
      <c r="B61" s="775" t="s">
        <v>467</v>
      </c>
      <c r="C61" s="329"/>
      <c r="D61" s="329"/>
      <c r="E61" s="330"/>
      <c r="F61" s="329"/>
      <c r="G61" s="347"/>
      <c r="H61" s="306"/>
      <c r="I61" s="430"/>
      <c r="J61" s="306"/>
      <c r="K61" s="306"/>
    </row>
    <row r="62" spans="2:11">
      <c r="G62" s="93"/>
    </row>
    <row r="63" spans="2:11" s="18" customFormat="1">
      <c r="B63" s="20" t="s">
        <v>468</v>
      </c>
      <c r="C63" s="24">
        <f>I63/I64*I65</f>
        <v>911138.18095885159</v>
      </c>
      <c r="D63" s="21" t="s">
        <v>145</v>
      </c>
      <c r="E63" s="21" t="s">
        <v>469</v>
      </c>
      <c r="G63" s="436"/>
      <c r="H63" s="307" t="s">
        <v>472</v>
      </c>
      <c r="I63" s="429">
        <v>665820</v>
      </c>
      <c r="J63" s="307" t="s">
        <v>145</v>
      </c>
    </row>
    <row r="64" spans="2:11" s="18" customFormat="1">
      <c r="B64" s="20" t="s">
        <v>470</v>
      </c>
      <c r="C64" s="24">
        <v>7</v>
      </c>
      <c r="D64" s="21" t="s">
        <v>471</v>
      </c>
      <c r="E64" s="21"/>
      <c r="G64" s="436"/>
      <c r="H64" s="307" t="s">
        <v>457</v>
      </c>
      <c r="I64" s="429">
        <v>2533897.6</v>
      </c>
      <c r="J64" s="307" t="s">
        <v>412</v>
      </c>
    </row>
    <row r="65" spans="2:10" s="18" customFormat="1" ht="13.5" thickBot="1">
      <c r="B65" s="20"/>
      <c r="C65" s="24"/>
      <c r="D65" s="21"/>
      <c r="E65" s="21"/>
      <c r="G65" s="437"/>
      <c r="H65" s="306" t="s">
        <v>458</v>
      </c>
      <c r="I65" s="430">
        <f>'Key Inputs'!E18</f>
        <v>3467500</v>
      </c>
      <c r="J65" s="306" t="s">
        <v>412</v>
      </c>
    </row>
    <row r="66" spans="2:10" s="18" customFormat="1" ht="6" customHeight="1">
      <c r="B66" s="28"/>
      <c r="C66" s="29"/>
      <c r="D66" s="30"/>
      <c r="E66" s="31"/>
      <c r="F66" s="31"/>
      <c r="G66" s="32"/>
      <c r="I66" s="307"/>
      <c r="J66" s="307"/>
    </row>
    <row r="67" spans="2:10" s="37" customFormat="1" ht="38.25">
      <c r="B67" s="33" t="s">
        <v>32</v>
      </c>
      <c r="C67" s="34" t="s">
        <v>97</v>
      </c>
      <c r="D67" s="34" t="s">
        <v>33</v>
      </c>
      <c r="E67" s="34" t="s">
        <v>34</v>
      </c>
      <c r="F67" s="34" t="s">
        <v>35</v>
      </c>
      <c r="G67" s="35" t="s">
        <v>36</v>
      </c>
      <c r="I67" s="308"/>
      <c r="J67" s="308"/>
    </row>
    <row r="68" spans="2:10" s="18" customFormat="1" ht="6" customHeight="1" thickBot="1">
      <c r="B68" s="349"/>
      <c r="C68" s="88"/>
      <c r="D68" s="182"/>
      <c r="E68" s="46"/>
      <c r="F68" s="46"/>
      <c r="G68" s="47"/>
      <c r="I68" s="307"/>
      <c r="J68" s="307"/>
    </row>
    <row r="69" spans="2:10" s="18" customFormat="1" ht="6" customHeight="1">
      <c r="B69" s="28"/>
      <c r="C69" s="29"/>
      <c r="D69" s="30"/>
      <c r="E69" s="31"/>
      <c r="F69" s="31"/>
      <c r="G69" s="32"/>
      <c r="I69" s="307"/>
      <c r="J69" s="307"/>
    </row>
    <row r="70" spans="2:10">
      <c r="B70" s="43" t="s">
        <v>37</v>
      </c>
      <c r="C70" s="44"/>
      <c r="D70" s="45"/>
      <c r="E70" s="46"/>
      <c r="F70" s="46"/>
      <c r="G70" s="47"/>
    </row>
    <row r="71" spans="2:10">
      <c r="B71" s="48" t="s">
        <v>101</v>
      </c>
      <c r="C71" s="49">
        <f>D71*2000/$C$12</f>
        <v>7.2807845510410516</v>
      </c>
      <c r="D71" s="50">
        <f>C63*C64%/2000</f>
        <v>31.889836333559806</v>
      </c>
      <c r="E71" s="438">
        <v>100</v>
      </c>
      <c r="F71" s="52" t="s">
        <v>474</v>
      </c>
      <c r="G71" s="352" t="s">
        <v>475</v>
      </c>
    </row>
    <row r="72" spans="2:10">
      <c r="B72" s="48"/>
      <c r="C72" s="49"/>
      <c r="D72" s="50"/>
      <c r="E72" s="190"/>
      <c r="F72" s="52"/>
      <c r="G72" s="352"/>
    </row>
    <row r="73" spans="2:10">
      <c r="B73" s="43" t="s">
        <v>41</v>
      </c>
      <c r="C73" s="49"/>
      <c r="D73" s="50"/>
      <c r="E73" s="190"/>
      <c r="F73" s="52"/>
      <c r="G73" s="352"/>
    </row>
    <row r="74" spans="2:10" ht="13.5" thickBot="1">
      <c r="B74" s="104" t="s">
        <v>473</v>
      </c>
      <c r="C74" s="181">
        <f>D74*2000/$C$12</f>
        <v>7.2807845510410516</v>
      </c>
      <c r="D74" s="431">
        <f>C63*C64%/2000</f>
        <v>31.889836333559806</v>
      </c>
      <c r="E74" s="439">
        <v>100</v>
      </c>
      <c r="F74" s="241" t="s">
        <v>474</v>
      </c>
      <c r="G74" s="432" t="s">
        <v>475</v>
      </c>
    </row>
  </sheetData>
  <phoneticPr fontId="41" type="noConversion"/>
  <pageMargins left="0.2" right="0.2" top="0.5" bottom="0.5" header="0.05" footer="0.05"/>
  <pageSetup scale="71" fitToHeight="3" orientation="landscape" horizontalDpi="1200" verticalDpi="120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39079-134E-4A1E-97D1-E78DED348888}">
  <dimension ref="B1:K28"/>
  <sheetViews>
    <sheetView zoomScaleNormal="100" zoomScaleSheetLayoutView="100" workbookViewId="0">
      <selection activeCell="B15" sqref="B15"/>
    </sheetView>
  </sheetViews>
  <sheetFormatPr defaultColWidth="9.140625" defaultRowHeight="12.75"/>
  <cols>
    <col min="1" max="1" width="2.42578125" style="90" customWidth="1"/>
    <col min="2" max="2" width="37.28515625" style="90" customWidth="1"/>
    <col min="3" max="6" width="11.7109375" style="90" customWidth="1"/>
    <col min="7" max="7" width="44.7109375" style="90" bestFit="1" customWidth="1"/>
    <col min="8" max="8" width="15.85546875" style="90" bestFit="1" customWidth="1"/>
    <col min="9" max="10" width="9.140625" style="92"/>
    <col min="11" max="16384" width="9.140625" style="90"/>
  </cols>
  <sheetData>
    <row r="1" spans="2:11" s="1" customFormat="1" ht="11.25" customHeight="1">
      <c r="I1" s="304"/>
      <c r="J1" s="304"/>
    </row>
    <row r="2" spans="2:11" s="6" customFormat="1">
      <c r="B2" s="5" t="str">
        <f>'Key Inputs'!B2</f>
        <v>Company Name:</v>
      </c>
      <c r="C2" s="279" t="str">
        <f>'Key Inputs'!C2</f>
        <v>U. S. Steel Corp.</v>
      </c>
      <c r="F2" s="5"/>
      <c r="I2" s="305"/>
      <c r="J2" s="305"/>
    </row>
    <row r="3" spans="2:11" s="6" customFormat="1">
      <c r="B3" s="5" t="str">
        <f>'Key Inputs'!B3</f>
        <v>Site Name:</v>
      </c>
      <c r="C3" s="279" t="str">
        <f>'Key Inputs'!C3</f>
        <v>Edgar Thomson Plant</v>
      </c>
      <c r="F3" s="5"/>
      <c r="I3" s="305"/>
      <c r="J3" s="305"/>
    </row>
    <row r="4" spans="2:11" s="6" customFormat="1">
      <c r="B4" s="5" t="str">
        <f>'Key Inputs'!B4</f>
        <v>Description:</v>
      </c>
      <c r="C4" s="279" t="str">
        <f>'Key Inputs'!C4</f>
        <v>Title V Permit Renewal</v>
      </c>
      <c r="F4" s="5"/>
      <c r="I4" s="305"/>
      <c r="J4" s="305"/>
    </row>
    <row r="5" spans="2:11" s="6" customFormat="1">
      <c r="B5" s="5" t="str">
        <f>'Key Inputs'!B5</f>
        <v>Date:</v>
      </c>
      <c r="C5" s="281" t="str">
        <f>'Key Inputs'!C5</f>
        <v>10/7/2020 - DRAFT</v>
      </c>
      <c r="F5" s="5"/>
      <c r="I5" s="305"/>
      <c r="J5" s="305"/>
    </row>
    <row r="6" spans="2:11" s="6" customFormat="1">
      <c r="B6" s="5"/>
      <c r="C6" s="183"/>
      <c r="D6" s="5"/>
      <c r="F6" s="5"/>
      <c r="I6" s="305"/>
      <c r="J6" s="305"/>
    </row>
    <row r="7" spans="2:11" s="11" customFormat="1">
      <c r="B7" s="10" t="s">
        <v>619</v>
      </c>
      <c r="C7" s="10"/>
      <c r="D7" s="10"/>
      <c r="F7" s="10"/>
      <c r="I7" s="306"/>
      <c r="J7" s="306"/>
    </row>
    <row r="8" spans="2:11" s="16" customFormat="1">
      <c r="B8" s="14"/>
      <c r="C8" s="15"/>
      <c r="I8" s="304"/>
      <c r="J8" s="304"/>
    </row>
    <row r="9" spans="2:11" s="18" customFormat="1">
      <c r="B9" s="20" t="s">
        <v>25</v>
      </c>
      <c r="C9" s="20" t="s">
        <v>550</v>
      </c>
      <c r="D9" s="20"/>
      <c r="E9" s="21"/>
      <c r="I9" s="307"/>
      <c r="J9" s="307"/>
    </row>
    <row r="10" spans="2:11" s="18" customFormat="1">
      <c r="B10" s="20" t="s">
        <v>56</v>
      </c>
      <c r="C10" s="23" t="s">
        <v>807</v>
      </c>
      <c r="D10" s="20"/>
      <c r="E10" s="21"/>
      <c r="I10" s="307"/>
      <c r="J10" s="307"/>
    </row>
    <row r="11" spans="2:11" s="18" customFormat="1">
      <c r="B11" s="20" t="s">
        <v>291</v>
      </c>
      <c r="C11" s="23" t="s">
        <v>16</v>
      </c>
      <c r="D11" s="20"/>
      <c r="E11" s="21"/>
      <c r="I11" s="307"/>
      <c r="J11" s="307"/>
    </row>
    <row r="12" spans="2:11" s="18" customFormat="1">
      <c r="B12" s="20" t="s">
        <v>26</v>
      </c>
      <c r="C12" s="24">
        <v>365</v>
      </c>
      <c r="D12" s="21" t="s">
        <v>555</v>
      </c>
      <c r="E12" s="21"/>
      <c r="G12" s="87"/>
      <c r="I12" s="307"/>
      <c r="J12" s="307"/>
    </row>
    <row r="13" spans="2:11" s="18" customFormat="1">
      <c r="B13" s="20" t="s">
        <v>543</v>
      </c>
      <c r="C13" s="24">
        <v>2</v>
      </c>
      <c r="D13" s="21" t="s">
        <v>544</v>
      </c>
      <c r="E13" s="21"/>
      <c r="G13" s="87"/>
      <c r="H13" s="307"/>
      <c r="I13" s="429"/>
      <c r="J13" s="307"/>
    </row>
    <row r="14" spans="2:11" s="18" customFormat="1">
      <c r="B14" s="186"/>
      <c r="C14" s="169"/>
      <c r="D14" s="168"/>
      <c r="G14" s="87"/>
      <c r="H14" s="307"/>
      <c r="I14" s="429"/>
      <c r="J14" s="307"/>
    </row>
    <row r="15" spans="2:11" s="11" customFormat="1" ht="15">
      <c r="B15" s="775" t="s">
        <v>551</v>
      </c>
      <c r="C15" s="329"/>
      <c r="D15" s="329"/>
      <c r="E15" s="330"/>
      <c r="F15" s="329"/>
      <c r="G15" s="331"/>
      <c r="H15" s="306"/>
      <c r="I15" s="430"/>
      <c r="J15" s="306"/>
      <c r="K15" s="306"/>
    </row>
    <row r="16" spans="2:11" s="13" customFormat="1">
      <c r="B16" s="513"/>
      <c r="C16" s="513"/>
      <c r="D16" s="513"/>
      <c r="E16" s="514"/>
      <c r="F16" s="513"/>
      <c r="G16" s="515"/>
      <c r="H16" s="516"/>
      <c r="I16" s="517"/>
      <c r="J16" s="516"/>
      <c r="K16" s="516"/>
    </row>
    <row r="17" spans="2:10">
      <c r="B17" s="114" t="s">
        <v>545</v>
      </c>
      <c r="C17" s="132">
        <v>5.3</v>
      </c>
      <c r="D17" s="91" t="s">
        <v>13</v>
      </c>
      <c r="H17" s="191" t="s">
        <v>546</v>
      </c>
    </row>
    <row r="18" spans="2:10">
      <c r="B18" s="114" t="s">
        <v>547</v>
      </c>
      <c r="C18" s="162">
        <v>160</v>
      </c>
      <c r="D18" s="91" t="s">
        <v>548</v>
      </c>
    </row>
    <row r="19" spans="2:10">
      <c r="B19" s="114" t="s">
        <v>549</v>
      </c>
      <c r="C19" s="123">
        <v>20</v>
      </c>
      <c r="D19" s="90" t="s">
        <v>13</v>
      </c>
    </row>
    <row r="20" spans="2:10" ht="8.25" customHeight="1" thickBot="1">
      <c r="B20" s="114"/>
    </row>
    <row r="21" spans="2:10" s="18" customFormat="1" ht="6" customHeight="1">
      <c r="B21" s="28"/>
      <c r="C21" s="29"/>
      <c r="D21" s="30"/>
      <c r="E21" s="31"/>
      <c r="F21" s="31"/>
      <c r="G21" s="32"/>
      <c r="I21" s="307"/>
      <c r="J21" s="307"/>
    </row>
    <row r="22" spans="2:10" s="37" customFormat="1" ht="38.25">
      <c r="B22" s="33" t="s">
        <v>32</v>
      </c>
      <c r="C22" s="34" t="s">
        <v>97</v>
      </c>
      <c r="D22" s="34" t="s">
        <v>33</v>
      </c>
      <c r="E22" s="34" t="s">
        <v>34</v>
      </c>
      <c r="F22" s="34" t="s">
        <v>35</v>
      </c>
      <c r="G22" s="35" t="s">
        <v>36</v>
      </c>
      <c r="I22" s="308"/>
      <c r="J22" s="308"/>
    </row>
    <row r="23" spans="2:10" s="18" customFormat="1" ht="6" customHeight="1" thickBot="1">
      <c r="B23" s="38"/>
      <c r="C23" s="39"/>
      <c r="D23" s="40"/>
      <c r="E23" s="41"/>
      <c r="F23" s="41"/>
      <c r="G23" s="42"/>
      <c r="I23" s="307"/>
      <c r="J23" s="307"/>
    </row>
    <row r="24" spans="2:10" s="18" customFormat="1" ht="6" customHeight="1">
      <c r="B24" s="28"/>
      <c r="C24" s="29"/>
      <c r="D24" s="30"/>
      <c r="E24" s="31"/>
      <c r="F24" s="31"/>
      <c r="G24" s="32"/>
      <c r="I24" s="307"/>
      <c r="J24" s="307"/>
    </row>
    <row r="25" spans="2:10" s="16" customFormat="1">
      <c r="B25" s="43" t="s">
        <v>37</v>
      </c>
      <c r="C25" s="44"/>
      <c r="D25" s="45"/>
      <c r="E25" s="46"/>
      <c r="F25" s="46"/>
      <c r="G25" s="47"/>
      <c r="I25" s="304"/>
      <c r="J25" s="304"/>
    </row>
    <row r="26" spans="2:10" s="16" customFormat="1">
      <c r="B26" s="48" t="s">
        <v>38</v>
      </c>
      <c r="C26" s="49">
        <f>D26*2000/$C$12/24</f>
        <v>0.58220646178092983</v>
      </c>
      <c r="D26" s="50">
        <f>E26*$C$13*$C$12/2000</f>
        <v>2.5500643026004726</v>
      </c>
      <c r="E26" s="512">
        <f>(1.7*(C17/1.5)*((365-C18)/235)*(C19/15))</f>
        <v>6.9864775413711584</v>
      </c>
      <c r="F26" s="52" t="s">
        <v>552</v>
      </c>
      <c r="G26" s="352" t="s">
        <v>553</v>
      </c>
      <c r="I26" s="304"/>
      <c r="J26" s="304"/>
    </row>
    <row r="27" spans="2:10" s="16" customFormat="1" ht="14.25">
      <c r="B27" s="48" t="s">
        <v>146</v>
      </c>
      <c r="C27" s="49">
        <f>D27*2000/$C$12/24</f>
        <v>0.27536792111260194</v>
      </c>
      <c r="D27" s="50">
        <f t="shared" ref="D27:D28" si="0">E27*$C$13*$C$12/2000</f>
        <v>1.2061114944731968</v>
      </c>
      <c r="E27" s="512">
        <f>0.35/0.74*100%*E26</f>
        <v>3.3044150533512235</v>
      </c>
      <c r="F27" s="52" t="s">
        <v>552</v>
      </c>
      <c r="G27" s="352" t="s">
        <v>554</v>
      </c>
      <c r="I27" s="304"/>
      <c r="J27" s="304"/>
    </row>
    <row r="28" spans="2:10" s="16" customFormat="1" ht="15" thickBot="1">
      <c r="B28" s="343" t="s">
        <v>147</v>
      </c>
      <c r="C28" s="767">
        <f>D28*2000/$C$12/24</f>
        <v>8.6544203778246342E-2</v>
      </c>
      <c r="D28" s="771">
        <f t="shared" si="0"/>
        <v>0.37906361254871901</v>
      </c>
      <c r="E28" s="434">
        <f>0.11/0.74*100%*E26</f>
        <v>1.0385304453389561</v>
      </c>
      <c r="F28" s="241" t="s">
        <v>552</v>
      </c>
      <c r="G28" s="432" t="s">
        <v>554</v>
      </c>
      <c r="I28" s="304"/>
      <c r="J28" s="304"/>
    </row>
  </sheetData>
  <pageMargins left="0.2" right="0.2" top="0.5" bottom="0.5" header="0.05" footer="0.05"/>
  <pageSetup scale="71" fitToHeight="3" orientation="landscape" horizontalDpi="1200" verticalDpi="120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56B03-CDB0-49A1-AA16-274B3A715EE8}">
  <dimension ref="B1:K53"/>
  <sheetViews>
    <sheetView zoomScaleNormal="100" zoomScaleSheetLayoutView="100" workbookViewId="0">
      <selection activeCell="G14" sqref="G14"/>
    </sheetView>
  </sheetViews>
  <sheetFormatPr defaultColWidth="9.140625" defaultRowHeight="12.75"/>
  <cols>
    <col min="1" max="1" width="2.42578125" style="90" customWidth="1"/>
    <col min="2" max="2" width="36.42578125" style="90" customWidth="1"/>
    <col min="3" max="6" width="11.7109375" style="90" customWidth="1"/>
    <col min="7" max="7" width="44.7109375" style="90" bestFit="1" customWidth="1"/>
    <col min="8" max="8" width="15.85546875" style="90" bestFit="1" customWidth="1"/>
    <col min="9" max="10" width="9.140625" style="92"/>
    <col min="11" max="16384" width="9.140625" style="90"/>
  </cols>
  <sheetData>
    <row r="1" spans="2:11" s="1" customFormat="1" ht="11.25" customHeight="1">
      <c r="I1" s="304"/>
      <c r="J1" s="304"/>
    </row>
    <row r="2" spans="2:11" s="6" customFormat="1">
      <c r="B2" s="5" t="str">
        <f>'Key Inputs'!B2</f>
        <v>Company Name:</v>
      </c>
      <c r="C2" s="279" t="str">
        <f>'Key Inputs'!C2</f>
        <v>U. S. Steel Corp.</v>
      </c>
      <c r="F2" s="5"/>
      <c r="I2" s="305"/>
      <c r="J2" s="305"/>
    </row>
    <row r="3" spans="2:11" s="6" customFormat="1">
      <c r="B3" s="5" t="str">
        <f>'Key Inputs'!B3</f>
        <v>Site Name:</v>
      </c>
      <c r="C3" s="279" t="str">
        <f>'Key Inputs'!C3</f>
        <v>Edgar Thomson Plant</v>
      </c>
      <c r="F3" s="5"/>
      <c r="I3" s="305"/>
      <c r="J3" s="305"/>
    </row>
    <row r="4" spans="2:11" s="6" customFormat="1">
      <c r="B4" s="5" t="str">
        <f>'Key Inputs'!B4</f>
        <v>Description:</v>
      </c>
      <c r="C4" s="279" t="str">
        <f>'Key Inputs'!C4</f>
        <v>Title V Permit Renewal</v>
      </c>
      <c r="F4" s="5"/>
      <c r="I4" s="305"/>
      <c r="J4" s="305"/>
    </row>
    <row r="5" spans="2:11" s="6" customFormat="1">
      <c r="B5" s="5" t="str">
        <f>'Key Inputs'!B5</f>
        <v>Date:</v>
      </c>
      <c r="C5" s="281" t="str">
        <f>'Key Inputs'!C5</f>
        <v>10/7/2020 - DRAFT</v>
      </c>
      <c r="F5" s="5"/>
      <c r="I5" s="305"/>
      <c r="J5" s="305"/>
    </row>
    <row r="6" spans="2:11" s="6" customFormat="1">
      <c r="B6" s="5"/>
      <c r="C6" s="183"/>
      <c r="D6" s="5"/>
      <c r="F6" s="5"/>
      <c r="I6" s="305"/>
      <c r="J6" s="305"/>
    </row>
    <row r="7" spans="2:11" s="11" customFormat="1">
      <c r="B7" s="10" t="s">
        <v>620</v>
      </c>
      <c r="C7" s="10"/>
      <c r="D7" s="10"/>
      <c r="F7" s="10"/>
      <c r="I7" s="306"/>
      <c r="J7" s="306"/>
    </row>
    <row r="8" spans="2:11" s="16" customFormat="1">
      <c r="B8" s="14"/>
      <c r="C8" s="15"/>
      <c r="I8" s="304"/>
      <c r="J8" s="304"/>
    </row>
    <row r="9" spans="2:11" s="18" customFormat="1">
      <c r="B9" s="20" t="s">
        <v>25</v>
      </c>
      <c r="C9" s="20" t="s">
        <v>556</v>
      </c>
      <c r="D9" s="20"/>
      <c r="E9" s="21"/>
      <c r="I9" s="307"/>
      <c r="J9" s="307"/>
    </row>
    <row r="10" spans="2:11" s="18" customFormat="1">
      <c r="B10" s="20" t="s">
        <v>56</v>
      </c>
      <c r="C10" s="23" t="s">
        <v>21</v>
      </c>
      <c r="D10" s="20"/>
      <c r="E10" s="21"/>
      <c r="I10" s="307"/>
      <c r="J10" s="307"/>
    </row>
    <row r="11" spans="2:11" s="18" customFormat="1">
      <c r="B11" s="20" t="s">
        <v>291</v>
      </c>
      <c r="C11" s="23" t="s">
        <v>16</v>
      </c>
      <c r="D11" s="20"/>
      <c r="E11" s="21"/>
      <c r="I11" s="307"/>
      <c r="J11" s="307"/>
    </row>
    <row r="12" spans="2:11" s="18" customFormat="1">
      <c r="B12" s="20" t="s">
        <v>26</v>
      </c>
      <c r="C12" s="24">
        <f>8*5*52</f>
        <v>2080</v>
      </c>
      <c r="D12" s="21" t="s">
        <v>562</v>
      </c>
      <c r="E12" s="21"/>
      <c r="G12" s="87"/>
      <c r="I12" s="307"/>
      <c r="J12" s="307"/>
    </row>
    <row r="13" spans="2:11" s="18" customFormat="1">
      <c r="B13" s="186"/>
      <c r="C13" s="169"/>
      <c r="D13" s="168"/>
      <c r="G13" s="87"/>
      <c r="H13" s="307"/>
      <c r="I13" s="429"/>
      <c r="J13" s="307"/>
    </row>
    <row r="14" spans="2:11" s="11" customFormat="1">
      <c r="B14" s="329" t="s">
        <v>557</v>
      </c>
      <c r="C14" s="329"/>
      <c r="D14" s="329"/>
      <c r="E14" s="330"/>
      <c r="F14" s="329"/>
      <c r="G14" s="331"/>
      <c r="H14" s="306"/>
      <c r="I14" s="430"/>
      <c r="J14" s="306"/>
      <c r="K14" s="306"/>
    </row>
    <row r="15" spans="2:11" s="13" customFormat="1">
      <c r="B15" s="513"/>
      <c r="C15" s="513"/>
      <c r="D15" s="513"/>
      <c r="E15" s="514"/>
      <c r="F15" s="513"/>
      <c r="G15" s="515"/>
      <c r="H15" s="516" t="s">
        <v>564</v>
      </c>
      <c r="I15" s="517"/>
      <c r="J15" s="516"/>
      <c r="K15" s="516"/>
    </row>
    <row r="16" spans="2:11" s="13" customFormat="1">
      <c r="B16" s="114" t="s">
        <v>563</v>
      </c>
      <c r="C16" s="132">
        <v>9.33</v>
      </c>
      <c r="D16" s="91" t="s">
        <v>112</v>
      </c>
      <c r="E16" s="514"/>
      <c r="F16" s="513"/>
      <c r="G16" s="515"/>
      <c r="H16" s="191" t="s">
        <v>560</v>
      </c>
      <c r="I16" s="92">
        <v>581</v>
      </c>
      <c r="J16" s="92" t="s">
        <v>561</v>
      </c>
      <c r="K16" s="516"/>
    </row>
    <row r="17" spans="2:10">
      <c r="B17" s="114" t="s">
        <v>559</v>
      </c>
      <c r="C17" s="162">
        <f>I16/I17*I18</f>
        <v>795.06665936303034</v>
      </c>
      <c r="D17" s="91" t="s">
        <v>104</v>
      </c>
      <c r="H17" s="307" t="s">
        <v>457</v>
      </c>
      <c r="I17" s="429">
        <v>2533897.6</v>
      </c>
      <c r="J17" s="307" t="s">
        <v>412</v>
      </c>
    </row>
    <row r="18" spans="2:10" ht="13.5" thickBot="1">
      <c r="B18" s="114"/>
      <c r="H18" s="306" t="s">
        <v>458</v>
      </c>
      <c r="I18" s="430">
        <f>'Key Inputs'!E18</f>
        <v>3467500</v>
      </c>
      <c r="J18" s="306" t="s">
        <v>412</v>
      </c>
    </row>
    <row r="19" spans="2:10" ht="5.0999999999999996" customHeight="1">
      <c r="B19" s="28"/>
      <c r="C19" s="29"/>
      <c r="D19" s="30"/>
      <c r="E19" s="31"/>
      <c r="F19" s="31"/>
      <c r="G19" s="32"/>
      <c r="I19" s="90"/>
      <c r="J19" s="90"/>
    </row>
    <row r="20" spans="2:10" ht="38.25">
      <c r="B20" s="33" t="s">
        <v>32</v>
      </c>
      <c r="C20" s="34" t="s">
        <v>97</v>
      </c>
      <c r="D20" s="34" t="s">
        <v>33</v>
      </c>
      <c r="E20" s="34" t="s">
        <v>568</v>
      </c>
      <c r="F20" s="34" t="s">
        <v>53</v>
      </c>
      <c r="G20" s="35" t="s">
        <v>36</v>
      </c>
    </row>
    <row r="21" spans="2:10" s="18" customFormat="1" ht="5.0999999999999996" customHeight="1" thickBot="1">
      <c r="B21" s="349"/>
      <c r="C21" s="88"/>
      <c r="D21" s="182"/>
      <c r="E21" s="46"/>
      <c r="F21" s="46"/>
      <c r="G21" s="47"/>
      <c r="I21" s="307"/>
      <c r="J21" s="307"/>
    </row>
    <row r="22" spans="2:10" s="37" customFormat="1" ht="5.0999999999999996" customHeight="1">
      <c r="B22" s="28"/>
      <c r="C22" s="29"/>
      <c r="D22" s="30"/>
      <c r="E22" s="31"/>
      <c r="F22" s="31"/>
      <c r="G22" s="32"/>
      <c r="I22" s="308"/>
      <c r="J22" s="308"/>
    </row>
    <row r="23" spans="2:10" s="18" customFormat="1">
      <c r="B23" s="43" t="s">
        <v>37</v>
      </c>
      <c r="C23" s="44"/>
      <c r="D23" s="45"/>
      <c r="E23" s="46"/>
      <c r="F23" s="46"/>
      <c r="G23" s="47"/>
      <c r="I23" s="307"/>
      <c r="J23" s="307"/>
    </row>
    <row r="24" spans="2:10" s="18" customFormat="1">
      <c r="B24" s="48" t="s">
        <v>101</v>
      </c>
      <c r="C24" s="49">
        <f>D24*2000/$C$12</f>
        <v>2.139799595728002</v>
      </c>
      <c r="D24" s="50">
        <f>$C$16*$C$17*E24%/2000</f>
        <v>2.225391579557122</v>
      </c>
      <c r="E24" s="438">
        <v>60</v>
      </c>
      <c r="F24" s="52" t="s">
        <v>558</v>
      </c>
      <c r="G24" s="352" t="s">
        <v>569</v>
      </c>
      <c r="I24" s="307"/>
      <c r="J24" s="307"/>
    </row>
    <row r="25" spans="2:10" s="16" customFormat="1">
      <c r="B25" s="48"/>
      <c r="C25" s="49"/>
      <c r="D25" s="50"/>
      <c r="E25" s="342"/>
      <c r="F25" s="52"/>
      <c r="G25" s="352"/>
      <c r="I25" s="304"/>
      <c r="J25" s="304"/>
    </row>
    <row r="26" spans="2:10" s="16" customFormat="1">
      <c r="B26" s="43" t="s">
        <v>41</v>
      </c>
      <c r="C26" s="49"/>
      <c r="D26" s="50"/>
      <c r="E26" s="342"/>
      <c r="F26" s="52"/>
      <c r="G26" s="352"/>
      <c r="I26" s="304"/>
      <c r="J26" s="304"/>
    </row>
    <row r="27" spans="2:10" s="16" customFormat="1">
      <c r="B27" s="188" t="s">
        <v>105</v>
      </c>
      <c r="C27" s="49">
        <f t="shared" ref="C27:C31" si="0">D27*2000/$C$12</f>
        <v>1.818829656368802E-2</v>
      </c>
      <c r="D27" s="50">
        <f t="shared" ref="D27:D31" si="1">$C$16*$C$17*E27%/2000</f>
        <v>1.8915828426235539E-2</v>
      </c>
      <c r="E27" s="342">
        <v>0.51</v>
      </c>
      <c r="F27" s="52" t="s">
        <v>558</v>
      </c>
      <c r="G27" s="352" t="s">
        <v>569</v>
      </c>
      <c r="I27" s="304"/>
      <c r="J27" s="304"/>
    </row>
    <row r="28" spans="2:10" s="16" customFormat="1">
      <c r="B28" s="188" t="s">
        <v>565</v>
      </c>
      <c r="C28" s="49">
        <f t="shared" si="0"/>
        <v>7.1326653190933398E-2</v>
      </c>
      <c r="D28" s="50">
        <f t="shared" si="1"/>
        <v>7.417971931857073E-2</v>
      </c>
      <c r="E28" s="519">
        <v>2</v>
      </c>
      <c r="F28" s="95" t="s">
        <v>558</v>
      </c>
      <c r="G28" s="189" t="s">
        <v>569</v>
      </c>
      <c r="I28" s="304"/>
      <c r="J28" s="304"/>
    </row>
    <row r="29" spans="2:10">
      <c r="B29" s="188" t="s">
        <v>566</v>
      </c>
      <c r="C29" s="49">
        <f t="shared" si="0"/>
        <v>0.12589154288199741</v>
      </c>
      <c r="D29" s="50">
        <f t="shared" si="1"/>
        <v>0.13092720459727733</v>
      </c>
      <c r="E29" s="519">
        <v>3.53</v>
      </c>
      <c r="F29" s="95" t="s">
        <v>558</v>
      </c>
      <c r="G29" s="189" t="s">
        <v>569</v>
      </c>
    </row>
    <row r="30" spans="2:10">
      <c r="B30" s="188" t="s">
        <v>85</v>
      </c>
      <c r="C30" s="49">
        <f t="shared" si="0"/>
        <v>0.46362324574106706</v>
      </c>
      <c r="D30" s="50">
        <f t="shared" si="1"/>
        <v>0.48216817557070979</v>
      </c>
      <c r="E30" s="519">
        <v>13</v>
      </c>
      <c r="F30" s="95" t="s">
        <v>558</v>
      </c>
      <c r="G30" s="189" t="s">
        <v>569</v>
      </c>
    </row>
    <row r="31" spans="2:10" ht="13.5" thickBot="1">
      <c r="B31" s="104" t="s">
        <v>567</v>
      </c>
      <c r="C31" s="181">
        <f t="shared" si="0"/>
        <v>1.9614829627506686E-2</v>
      </c>
      <c r="D31" s="431">
        <f t="shared" si="1"/>
        <v>2.0399422812606954E-2</v>
      </c>
      <c r="E31" s="520">
        <v>0.55000000000000004</v>
      </c>
      <c r="F31" s="518" t="s">
        <v>558</v>
      </c>
      <c r="G31" s="105" t="s">
        <v>569</v>
      </c>
    </row>
    <row r="32" spans="2:10">
      <c r="B32" s="93"/>
      <c r="C32" s="93"/>
      <c r="D32" s="93"/>
      <c r="E32" s="93"/>
      <c r="F32" s="93"/>
      <c r="G32" s="93"/>
    </row>
    <row r="33" spans="2:11" s="11" customFormat="1">
      <c r="B33" s="329" t="s">
        <v>570</v>
      </c>
      <c r="C33" s="329"/>
      <c r="D33" s="329"/>
      <c r="E33" s="330"/>
      <c r="F33" s="329"/>
      <c r="G33" s="331"/>
      <c r="H33" s="516" t="s">
        <v>564</v>
      </c>
      <c r="I33" s="517"/>
      <c r="J33" s="516"/>
      <c r="K33" s="306"/>
    </row>
    <row r="34" spans="2:11" s="13" customFormat="1">
      <c r="B34" s="513"/>
      <c r="C34" s="513"/>
      <c r="D34" s="513"/>
      <c r="E34" s="514"/>
      <c r="F34" s="513"/>
      <c r="G34" s="515"/>
      <c r="H34" s="191" t="s">
        <v>560</v>
      </c>
      <c r="I34" s="92">
        <v>2155</v>
      </c>
      <c r="J34" s="92" t="s">
        <v>561</v>
      </c>
      <c r="K34" s="516"/>
    </row>
    <row r="35" spans="2:11" s="13" customFormat="1">
      <c r="B35" s="114" t="s">
        <v>563</v>
      </c>
      <c r="C35" s="132">
        <v>6.55</v>
      </c>
      <c r="D35" s="91" t="s">
        <v>112</v>
      </c>
      <c r="E35" s="514"/>
      <c r="F35" s="513"/>
      <c r="G35" s="515"/>
      <c r="H35" s="307" t="s">
        <v>457</v>
      </c>
      <c r="I35" s="429">
        <v>2533897.6</v>
      </c>
      <c r="J35" s="307" t="s">
        <v>412</v>
      </c>
      <c r="K35" s="516"/>
    </row>
    <row r="36" spans="2:11">
      <c r="B36" s="114" t="s">
        <v>559</v>
      </c>
      <c r="C36" s="162">
        <f>I34/I35*I36</f>
        <v>2948.9993991864549</v>
      </c>
      <c r="D36" s="91" t="s">
        <v>104</v>
      </c>
      <c r="H36" s="306" t="s">
        <v>458</v>
      </c>
      <c r="I36" s="430">
        <f>I18</f>
        <v>3467500</v>
      </c>
      <c r="J36" s="306" t="s">
        <v>412</v>
      </c>
    </row>
    <row r="37" spans="2:11">
      <c r="B37" s="114" t="s">
        <v>571</v>
      </c>
      <c r="C37" s="162">
        <v>95</v>
      </c>
      <c r="D37" s="91" t="s">
        <v>13</v>
      </c>
      <c r="H37" s="191" t="s">
        <v>572</v>
      </c>
      <c r="I37" s="90"/>
      <c r="J37" s="90"/>
    </row>
    <row r="38" spans="2:11" ht="5.0999999999999996" customHeight="1" thickBot="1">
      <c r="B38" s="114"/>
      <c r="I38" s="90"/>
      <c r="J38" s="90"/>
    </row>
    <row r="39" spans="2:11">
      <c r="B39" s="28"/>
      <c r="C39" s="29"/>
      <c r="D39" s="30"/>
      <c r="E39" s="31"/>
      <c r="F39" s="31"/>
      <c r="G39" s="32"/>
    </row>
    <row r="40" spans="2:11" s="18" customFormat="1" ht="38.25">
      <c r="B40" s="33" t="s">
        <v>32</v>
      </c>
      <c r="C40" s="34" t="s">
        <v>97</v>
      </c>
      <c r="D40" s="34" t="s">
        <v>33</v>
      </c>
      <c r="E40" s="34" t="s">
        <v>568</v>
      </c>
      <c r="F40" s="34" t="s">
        <v>53</v>
      </c>
      <c r="G40" s="35" t="s">
        <v>36</v>
      </c>
      <c r="I40" s="307"/>
      <c r="J40" s="307"/>
    </row>
    <row r="41" spans="2:11" s="37" customFormat="1" ht="5.0999999999999996" customHeight="1" thickBot="1">
      <c r="B41" s="349"/>
      <c r="C41" s="88"/>
      <c r="D41" s="182"/>
      <c r="E41" s="46"/>
      <c r="F41" s="46"/>
      <c r="G41" s="47"/>
      <c r="I41" s="308"/>
      <c r="J41" s="308"/>
    </row>
    <row r="42" spans="2:11" s="18" customFormat="1">
      <c r="B42" s="28"/>
      <c r="C42" s="29"/>
      <c r="D42" s="30"/>
      <c r="E42" s="31"/>
      <c r="F42" s="31"/>
      <c r="G42" s="32"/>
      <c r="I42" s="307"/>
      <c r="J42" s="307"/>
    </row>
    <row r="43" spans="2:11" s="18" customFormat="1">
      <c r="B43" s="43" t="s">
        <v>37</v>
      </c>
      <c r="C43" s="44"/>
      <c r="D43" s="45"/>
      <c r="E43" s="46"/>
      <c r="F43" s="46"/>
      <c r="G43" s="47"/>
      <c r="I43" s="307"/>
      <c r="J43" s="307"/>
    </row>
    <row r="44" spans="2:11" s="16" customFormat="1">
      <c r="B44" s="48" t="s">
        <v>101</v>
      </c>
      <c r="C44" s="49">
        <f>D44*2000/$C$12</f>
        <v>9.2865125310919616</v>
      </c>
      <c r="D44" s="50">
        <f>$C$35*$C$36*E44%/2000</f>
        <v>9.6579730323356401</v>
      </c>
      <c r="E44" s="438">
        <v>100</v>
      </c>
      <c r="F44" s="52" t="s">
        <v>558</v>
      </c>
      <c r="G44" s="352" t="s">
        <v>569</v>
      </c>
      <c r="I44" s="304"/>
      <c r="J44" s="304"/>
    </row>
    <row r="45" spans="2:11" s="16" customFormat="1">
      <c r="B45" s="48"/>
      <c r="C45" s="49"/>
      <c r="D45" s="50"/>
      <c r="E45" s="342"/>
      <c r="F45" s="52"/>
      <c r="G45" s="352"/>
      <c r="I45" s="304"/>
      <c r="J45" s="304"/>
    </row>
    <row r="46" spans="2:11" s="16" customFormat="1">
      <c r="B46" s="43" t="s">
        <v>41</v>
      </c>
      <c r="C46" s="49"/>
      <c r="D46" s="50"/>
      <c r="E46" s="342"/>
      <c r="F46" s="52"/>
      <c r="G46" s="352"/>
      <c r="I46" s="304"/>
      <c r="J46" s="304"/>
    </row>
    <row r="47" spans="2:11" ht="13.5" thickBot="1">
      <c r="B47" s="104" t="s">
        <v>27</v>
      </c>
      <c r="C47" s="181"/>
      <c r="D47" s="431"/>
      <c r="E47" s="521"/>
      <c r="F47" s="241"/>
      <c r="G47" s="432"/>
    </row>
    <row r="48" spans="2:11">
      <c r="B48" s="93"/>
      <c r="C48" s="93"/>
      <c r="D48" s="93"/>
      <c r="E48" s="93"/>
      <c r="F48" s="93"/>
      <c r="G48" s="93"/>
    </row>
    <row r="51" spans="2:7" ht="25.5">
      <c r="B51" s="763" t="s">
        <v>796</v>
      </c>
      <c r="C51" s="762" t="s">
        <v>794</v>
      </c>
      <c r="D51" s="762"/>
      <c r="E51" s="762"/>
      <c r="F51" s="762"/>
      <c r="G51" s="762"/>
    </row>
    <row r="53" spans="2:7">
      <c r="B53" s="90" t="s">
        <v>799</v>
      </c>
    </row>
  </sheetData>
  <pageMargins left="0.2" right="0.2" top="0.5" bottom="0.5" header="0.05" footer="0.05"/>
  <pageSetup scale="71" fitToHeight="3" orientation="landscape" horizontalDpi="1200" verticalDpi="1200"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FA39E-CD92-45D3-BD2A-5D71B6D7CD19}">
  <dimension ref="B1:K80"/>
  <sheetViews>
    <sheetView topLeftCell="A68" zoomScaleNormal="100" zoomScaleSheetLayoutView="100" workbookViewId="0">
      <selection activeCell="E75" sqref="E75"/>
    </sheetView>
  </sheetViews>
  <sheetFormatPr defaultColWidth="9.140625" defaultRowHeight="12.75"/>
  <cols>
    <col min="1" max="1" width="2.42578125" style="1" customWidth="1"/>
    <col min="2" max="2" width="39.85546875" style="1" customWidth="1"/>
    <col min="3" max="3" width="11.7109375" style="1" customWidth="1"/>
    <col min="4" max="4" width="10.5703125" style="1" customWidth="1"/>
    <col min="5" max="5" width="8.7109375" style="1" bestFit="1" customWidth="1"/>
    <col min="6" max="6" width="10.28515625" style="1" bestFit="1" customWidth="1"/>
    <col min="7" max="7" width="64.5703125" style="2" bestFit="1" customWidth="1"/>
    <col min="8" max="8" width="9.140625" style="1"/>
    <col min="9" max="11" width="9.140625" style="304"/>
    <col min="12" max="16384" width="9.140625" style="1"/>
  </cols>
  <sheetData>
    <row r="1" spans="2:11" ht="11.25" customHeight="1"/>
    <row r="2" spans="2:11" s="6" customFormat="1">
      <c r="B2" s="5" t="s">
        <v>2</v>
      </c>
      <c r="C2" s="279" t="s">
        <v>171</v>
      </c>
      <c r="F2" s="5"/>
      <c r="G2" s="7"/>
      <c r="I2" s="305"/>
      <c r="J2" s="305"/>
      <c r="K2" s="305"/>
    </row>
    <row r="3" spans="2:11" s="6" customFormat="1">
      <c r="B3" s="5" t="s">
        <v>3</v>
      </c>
      <c r="C3" s="279" t="s">
        <v>172</v>
      </c>
      <c r="F3" s="5"/>
      <c r="G3" s="7"/>
      <c r="I3" s="305"/>
      <c r="J3" s="305"/>
      <c r="K3" s="305"/>
    </row>
    <row r="4" spans="2:11" s="6" customFormat="1">
      <c r="B4" s="5" t="s">
        <v>4</v>
      </c>
      <c r="C4" s="279" t="s">
        <v>17</v>
      </c>
      <c r="F4" s="5"/>
      <c r="G4" s="7"/>
      <c r="I4" s="305"/>
      <c r="J4" s="305"/>
      <c r="K4" s="305"/>
    </row>
    <row r="5" spans="2:11" s="6" customFormat="1">
      <c r="B5" s="5" t="s">
        <v>173</v>
      </c>
      <c r="C5" s="281" t="str">
        <f>'Key Inputs'!C5</f>
        <v>10/7/2020 - DRAFT</v>
      </c>
      <c r="F5" s="5"/>
      <c r="G5" s="7"/>
      <c r="I5" s="305"/>
      <c r="J5" s="305"/>
      <c r="K5" s="305"/>
    </row>
    <row r="6" spans="2:11" s="6" customFormat="1">
      <c r="B6" s="5"/>
      <c r="C6" s="5"/>
      <c r="D6" s="5"/>
      <c r="F6" s="5"/>
      <c r="G6" s="7"/>
      <c r="I6" s="305"/>
      <c r="J6" s="305"/>
      <c r="K6" s="305"/>
    </row>
    <row r="7" spans="2:11" s="11" customFormat="1">
      <c r="B7" s="10" t="s">
        <v>750</v>
      </c>
      <c r="C7" s="10"/>
      <c r="D7" s="10"/>
      <c r="F7" s="10"/>
      <c r="G7" s="12"/>
      <c r="I7" s="306"/>
      <c r="J7" s="306"/>
      <c r="K7" s="306"/>
    </row>
    <row r="8" spans="2:11" s="16" customFormat="1">
      <c r="B8" s="14"/>
      <c r="C8" s="15"/>
      <c r="G8" s="17"/>
      <c r="I8" s="304"/>
      <c r="J8" s="304"/>
      <c r="K8" s="304"/>
    </row>
    <row r="9" spans="2:11" s="16" customFormat="1">
      <c r="B9" s="649" t="s">
        <v>25</v>
      </c>
      <c r="C9" s="650" t="s">
        <v>751</v>
      </c>
      <c r="D9" s="649"/>
      <c r="G9" s="17"/>
      <c r="I9" s="304"/>
      <c r="J9" s="304"/>
      <c r="K9" s="304"/>
    </row>
    <row r="10" spans="2:11" s="16" customFormat="1">
      <c r="B10" s="649" t="s">
        <v>56</v>
      </c>
      <c r="C10" s="651" t="s">
        <v>21</v>
      </c>
      <c r="D10" s="649"/>
      <c r="G10" s="17"/>
      <c r="I10" s="304"/>
      <c r="J10" s="304"/>
      <c r="K10" s="304"/>
    </row>
    <row r="11" spans="2:11" s="16" customFormat="1">
      <c r="B11" s="649" t="s">
        <v>291</v>
      </c>
      <c r="C11" s="651" t="s">
        <v>21</v>
      </c>
      <c r="D11" s="649"/>
      <c r="G11" s="17"/>
      <c r="I11" s="304"/>
      <c r="J11" s="304"/>
      <c r="K11" s="304"/>
    </row>
    <row r="12" spans="2:11" s="16" customFormat="1">
      <c r="B12" s="649" t="s">
        <v>26</v>
      </c>
      <c r="C12" s="652">
        <v>8760</v>
      </c>
      <c r="D12" s="17" t="s">
        <v>10</v>
      </c>
      <c r="G12" s="650"/>
      <c r="I12" s="304"/>
      <c r="J12" s="304"/>
      <c r="K12" s="304"/>
    </row>
    <row r="13" spans="2:11" s="16" customFormat="1">
      <c r="B13" s="649" t="s">
        <v>14</v>
      </c>
      <c r="C13" s="653" t="s">
        <v>27</v>
      </c>
      <c r="D13" s="17"/>
      <c r="G13" s="650"/>
      <c r="I13" s="304"/>
      <c r="J13" s="304"/>
      <c r="K13" s="304"/>
    </row>
    <row r="14" spans="2:11" s="16" customFormat="1">
      <c r="B14" s="649" t="s">
        <v>252</v>
      </c>
      <c r="C14" s="654">
        <f>188656/1000/2417156*'Key Inputs'!E18</f>
        <v>270.63403437759087</v>
      </c>
      <c r="D14" s="17" t="s">
        <v>31</v>
      </c>
      <c r="G14" s="650"/>
      <c r="I14" s="304" t="s">
        <v>752</v>
      </c>
      <c r="J14" s="304"/>
      <c r="K14" s="304"/>
    </row>
    <row r="15" spans="2:11" s="16" customFormat="1">
      <c r="B15" s="649"/>
      <c r="C15" s="654"/>
      <c r="D15" s="17"/>
      <c r="G15" s="650"/>
      <c r="I15" s="304"/>
      <c r="J15" s="304"/>
      <c r="K15" s="304"/>
    </row>
    <row r="16" spans="2:11" s="11" customFormat="1">
      <c r="B16" s="316" t="s">
        <v>251</v>
      </c>
      <c r="C16" s="316"/>
      <c r="D16" s="316"/>
      <c r="E16" s="317"/>
      <c r="F16" s="316"/>
      <c r="G16" s="331"/>
      <c r="I16" s="306"/>
      <c r="J16" s="306"/>
      <c r="K16" s="306"/>
    </row>
    <row r="17" spans="2:11" s="16" customFormat="1" ht="6" customHeight="1" thickBot="1">
      <c r="D17" s="15"/>
      <c r="E17" s="655"/>
      <c r="F17" s="655"/>
      <c r="G17" s="17"/>
      <c r="I17" s="304"/>
      <c r="J17" s="304"/>
      <c r="K17" s="304"/>
    </row>
    <row r="18" spans="2:11" s="16" customFormat="1" ht="6" customHeight="1">
      <c r="B18" s="656"/>
      <c r="C18" s="657"/>
      <c r="D18" s="658"/>
      <c r="E18" s="659"/>
      <c r="F18" s="659"/>
      <c r="G18" s="660"/>
      <c r="I18" s="304"/>
      <c r="J18" s="304"/>
      <c r="K18" s="304"/>
    </row>
    <row r="19" spans="2:11" s="664" customFormat="1" ht="38.25">
      <c r="B19" s="661" t="s">
        <v>32</v>
      </c>
      <c r="C19" s="662" t="s">
        <v>140</v>
      </c>
      <c r="D19" s="662" t="s">
        <v>141</v>
      </c>
      <c r="E19" s="662" t="s">
        <v>139</v>
      </c>
      <c r="F19" s="662" t="s">
        <v>35</v>
      </c>
      <c r="G19" s="663" t="s">
        <v>36</v>
      </c>
      <c r="I19" s="665"/>
      <c r="J19" s="665"/>
      <c r="K19" s="665"/>
    </row>
    <row r="20" spans="2:11" s="16" customFormat="1" ht="6" customHeight="1" thickBot="1">
      <c r="B20" s="666"/>
      <c r="C20" s="667"/>
      <c r="D20" s="668"/>
      <c r="E20" s="669"/>
      <c r="F20" s="669"/>
      <c r="G20" s="670"/>
      <c r="I20" s="304"/>
      <c r="J20" s="304"/>
      <c r="K20" s="304"/>
    </row>
    <row r="21" spans="2:11" s="16" customFormat="1" ht="6" customHeight="1">
      <c r="B21" s="656"/>
      <c r="C21" s="657"/>
      <c r="D21" s="658"/>
      <c r="E21" s="659"/>
      <c r="F21" s="659"/>
      <c r="G21" s="660"/>
      <c r="I21" s="304"/>
      <c r="J21" s="304"/>
      <c r="K21" s="304"/>
    </row>
    <row r="22" spans="2:11" s="16" customFormat="1">
      <c r="B22" s="671" t="s">
        <v>37</v>
      </c>
      <c r="C22" s="672"/>
      <c r="D22" s="673"/>
      <c r="E22" s="655"/>
      <c r="F22" s="655"/>
      <c r="G22" s="674"/>
      <c r="I22" s="304"/>
      <c r="J22" s="304"/>
      <c r="K22" s="304"/>
    </row>
    <row r="23" spans="2:11" s="16" customFormat="1">
      <c r="B23" s="675" t="s">
        <v>228</v>
      </c>
      <c r="C23" s="676">
        <f t="shared" ref="C23:C30" si="0">D23/$C$12*2000</f>
        <v>6.75040371135886E-2</v>
      </c>
      <c r="D23" s="677">
        <f>E23*$C$14/2000</f>
        <v>0.29566768255751802</v>
      </c>
      <c r="E23" s="678">
        <f>1.9*(1+'Key Inputs'!$G$2)</f>
        <v>2.1849999999999996</v>
      </c>
      <c r="F23" s="679" t="s">
        <v>39</v>
      </c>
      <c r="G23" s="680" t="s">
        <v>142</v>
      </c>
      <c r="I23" s="304"/>
      <c r="J23" s="304"/>
      <c r="K23" s="304"/>
    </row>
    <row r="24" spans="2:11" s="16" customFormat="1" ht="14.25">
      <c r="B24" s="675" t="s">
        <v>229</v>
      </c>
      <c r="C24" s="676">
        <f t="shared" si="0"/>
        <v>6.75040371135886E-2</v>
      </c>
      <c r="D24" s="677">
        <f t="shared" ref="D24:D30" si="1">E24*$C$14/2000</f>
        <v>0.29566768255751802</v>
      </c>
      <c r="E24" s="678">
        <f>1.9*(1+'Key Inputs'!$G$2)</f>
        <v>2.1849999999999996</v>
      </c>
      <c r="F24" s="679" t="s">
        <v>39</v>
      </c>
      <c r="G24" s="680" t="s">
        <v>142</v>
      </c>
      <c r="I24" s="304"/>
      <c r="J24" s="304"/>
      <c r="K24" s="304"/>
    </row>
    <row r="25" spans="2:11" s="16" customFormat="1" ht="14.25">
      <c r="B25" s="675" t="s">
        <v>230</v>
      </c>
      <c r="C25" s="676">
        <f t="shared" si="0"/>
        <v>6.75040371135886E-2</v>
      </c>
      <c r="D25" s="677">
        <f t="shared" si="1"/>
        <v>0.29566768255751802</v>
      </c>
      <c r="E25" s="678">
        <f>1.9*(1+'Key Inputs'!$G$2)</f>
        <v>2.1849999999999996</v>
      </c>
      <c r="F25" s="679" t="s">
        <v>39</v>
      </c>
      <c r="G25" s="680" t="s">
        <v>142</v>
      </c>
      <c r="I25" s="304"/>
      <c r="J25" s="304"/>
      <c r="K25" s="304"/>
    </row>
    <row r="26" spans="2:11" s="160" customFormat="1" ht="15" customHeight="1">
      <c r="B26" s="675" t="s">
        <v>227</v>
      </c>
      <c r="C26" s="676">
        <f t="shared" si="0"/>
        <v>0.20251211134076574</v>
      </c>
      <c r="D26" s="677">
        <f t="shared" si="1"/>
        <v>0.887003047672554</v>
      </c>
      <c r="E26" s="678">
        <f>5.7*(1+'Key Inputs'!$G$2)</f>
        <v>6.5549999999999997</v>
      </c>
      <c r="F26" s="679" t="s">
        <v>39</v>
      </c>
      <c r="G26" s="680" t="s">
        <v>260</v>
      </c>
      <c r="I26" s="310"/>
      <c r="J26" s="310"/>
      <c r="K26" s="310"/>
    </row>
    <row r="27" spans="2:11" s="16" customFormat="1" ht="14.25">
      <c r="B27" s="675" t="s">
        <v>148</v>
      </c>
      <c r="C27" s="676">
        <f t="shared" si="0"/>
        <v>3.5528440586099252</v>
      </c>
      <c r="D27" s="677">
        <f t="shared" si="1"/>
        <v>15.561456976711474</v>
      </c>
      <c r="E27" s="681">
        <f>100*(1+'Key Inputs'!$G$2)</f>
        <v>114.99999999999999</v>
      </c>
      <c r="F27" s="679" t="s">
        <v>39</v>
      </c>
      <c r="G27" s="682" t="s">
        <v>129</v>
      </c>
      <c r="I27" s="304"/>
      <c r="J27" s="304"/>
      <c r="K27" s="304"/>
    </row>
    <row r="28" spans="2:11" s="16" customFormat="1">
      <c r="B28" s="675" t="s">
        <v>65</v>
      </c>
      <c r="C28" s="676">
        <f t="shared" si="0"/>
        <v>0.19540642322354587</v>
      </c>
      <c r="D28" s="677">
        <f t="shared" si="1"/>
        <v>0.85588013371913096</v>
      </c>
      <c r="E28" s="678">
        <f>5.5*(1+'Key Inputs'!$G$2)</f>
        <v>6.3249999999999993</v>
      </c>
      <c r="F28" s="679" t="s">
        <v>39</v>
      </c>
      <c r="G28" s="682" t="s">
        <v>126</v>
      </c>
      <c r="I28" s="304"/>
      <c r="J28" s="304"/>
      <c r="K28" s="304"/>
    </row>
    <row r="29" spans="2:11" s="16" customFormat="1" ht="14.25">
      <c r="B29" s="675" t="s">
        <v>149</v>
      </c>
      <c r="C29" s="676">
        <f t="shared" si="0"/>
        <v>2.1317064351659552E-2</v>
      </c>
      <c r="D29" s="677">
        <f t="shared" si="1"/>
        <v>9.3368741860268847E-2</v>
      </c>
      <c r="E29" s="678">
        <f>0.6*(1+'Key Inputs'!$G$2)</f>
        <v>0.69</v>
      </c>
      <c r="F29" s="679" t="s">
        <v>39</v>
      </c>
      <c r="G29" s="682" t="s">
        <v>126</v>
      </c>
      <c r="I29" s="304"/>
      <c r="J29" s="304"/>
      <c r="K29" s="304"/>
    </row>
    <row r="30" spans="2:11" s="16" customFormat="1">
      <c r="B30" s="675" t="s">
        <v>40</v>
      </c>
      <c r="C30" s="676">
        <f t="shared" si="0"/>
        <v>2.9843890092323377</v>
      </c>
      <c r="D30" s="677">
        <f t="shared" si="1"/>
        <v>13.071623860437638</v>
      </c>
      <c r="E30" s="681">
        <f>84*(1+'Key Inputs'!$G$2)</f>
        <v>96.6</v>
      </c>
      <c r="F30" s="679" t="s">
        <v>39</v>
      </c>
      <c r="G30" s="682" t="s">
        <v>129</v>
      </c>
      <c r="I30" s="304"/>
      <c r="J30" s="304"/>
      <c r="K30" s="304"/>
    </row>
    <row r="31" spans="2:11" s="16" customFormat="1" ht="6" customHeight="1">
      <c r="B31" s="675"/>
      <c r="C31" s="683"/>
      <c r="D31" s="684"/>
      <c r="E31" s="685"/>
      <c r="F31" s="655"/>
      <c r="G31" s="674"/>
      <c r="I31" s="304"/>
      <c r="J31" s="304"/>
      <c r="K31" s="304"/>
    </row>
    <row r="32" spans="2:11" s="16" customFormat="1">
      <c r="B32" s="671" t="s">
        <v>41</v>
      </c>
      <c r="C32" s="672"/>
      <c r="D32" s="684"/>
      <c r="E32" s="686"/>
      <c r="F32" s="687"/>
      <c r="G32" s="674"/>
      <c r="I32" s="304"/>
      <c r="J32" s="304"/>
      <c r="K32" s="304"/>
    </row>
    <row r="33" spans="2:11" s="16" customFormat="1">
      <c r="B33" s="688" t="s">
        <v>42</v>
      </c>
      <c r="C33" s="689"/>
      <c r="D33" s="684"/>
      <c r="E33" s="677"/>
      <c r="F33" s="690"/>
      <c r="G33" s="674"/>
      <c r="I33" s="304"/>
      <c r="J33" s="304"/>
      <c r="K33" s="304"/>
    </row>
    <row r="34" spans="2:11" s="16" customFormat="1" hidden="1">
      <c r="B34" s="691" t="s">
        <v>66</v>
      </c>
      <c r="C34" s="692">
        <f t="shared" ref="C34:C57" si="2">D34/$C$12*2000</f>
        <v>8.5268257406638219E-7</v>
      </c>
      <c r="D34" s="693">
        <f>E34*$C$14/2000</f>
        <v>3.7347496744107542E-6</v>
      </c>
      <c r="E34" s="694">
        <v>2.76E-5</v>
      </c>
      <c r="F34" s="655" t="s">
        <v>39</v>
      </c>
      <c r="G34" s="674" t="s">
        <v>128</v>
      </c>
      <c r="I34" s="304"/>
      <c r="J34" s="304"/>
      <c r="K34" s="304"/>
    </row>
    <row r="35" spans="2:11" s="16" customFormat="1" hidden="1">
      <c r="B35" s="691" t="s">
        <v>67</v>
      </c>
      <c r="C35" s="692">
        <f t="shared" si="2"/>
        <v>6.3951193054978645E-8</v>
      </c>
      <c r="D35" s="693">
        <f t="shared" ref="D35:D57" si="3">E35*$C$14/2000</f>
        <v>2.8010622558080647E-7</v>
      </c>
      <c r="E35" s="694">
        <v>2.0699999999999997E-6</v>
      </c>
      <c r="F35" s="655" t="s">
        <v>39</v>
      </c>
      <c r="G35" s="674" t="s">
        <v>128</v>
      </c>
      <c r="I35" s="304"/>
      <c r="J35" s="304"/>
      <c r="K35" s="304"/>
    </row>
    <row r="36" spans="2:11" s="16" customFormat="1" hidden="1">
      <c r="B36" s="691" t="s">
        <v>68</v>
      </c>
      <c r="C36" s="692">
        <f t="shared" si="2"/>
        <v>5.6845504937758795E-7</v>
      </c>
      <c r="D36" s="693">
        <f t="shared" si="3"/>
        <v>2.4898331162738353E-6</v>
      </c>
      <c r="E36" s="694">
        <v>1.8399999999999997E-5</v>
      </c>
      <c r="F36" s="655" t="s">
        <v>39</v>
      </c>
      <c r="G36" s="674" t="s">
        <v>128</v>
      </c>
      <c r="I36" s="304"/>
      <c r="J36" s="304"/>
      <c r="K36" s="304"/>
    </row>
    <row r="37" spans="2:11" s="16" customFormat="1" hidden="1">
      <c r="B37" s="691" t="s">
        <v>108</v>
      </c>
      <c r="C37" s="692">
        <f t="shared" si="2"/>
        <v>6.3951193054978645E-8</v>
      </c>
      <c r="D37" s="693">
        <f t="shared" si="3"/>
        <v>2.8010622558080647E-7</v>
      </c>
      <c r="E37" s="694">
        <v>2.0699999999999997E-6</v>
      </c>
      <c r="F37" s="655" t="s">
        <v>39</v>
      </c>
      <c r="G37" s="674" t="s">
        <v>128</v>
      </c>
      <c r="I37" s="304"/>
      <c r="J37" s="304"/>
      <c r="K37" s="304"/>
    </row>
    <row r="38" spans="2:11" s="16" customFormat="1" hidden="1">
      <c r="B38" s="691" t="s">
        <v>109</v>
      </c>
      <c r="C38" s="692">
        <f t="shared" si="2"/>
        <v>6.3951193054978645E-8</v>
      </c>
      <c r="D38" s="693">
        <f t="shared" si="3"/>
        <v>2.8010622558080647E-7</v>
      </c>
      <c r="E38" s="694">
        <v>2.0699999999999997E-6</v>
      </c>
      <c r="F38" s="655" t="s">
        <v>39</v>
      </c>
      <c r="G38" s="674" t="s">
        <v>128</v>
      </c>
      <c r="I38" s="304"/>
      <c r="J38" s="304"/>
      <c r="K38" s="304"/>
    </row>
    <row r="39" spans="2:11" s="16" customFormat="1" hidden="1">
      <c r="B39" s="691" t="s">
        <v>69</v>
      </c>
      <c r="C39" s="692">
        <f t="shared" si="2"/>
        <v>8.5268257406638216E-8</v>
      </c>
      <c r="D39" s="693">
        <f t="shared" si="3"/>
        <v>3.734749674410754E-7</v>
      </c>
      <c r="E39" s="694">
        <v>2.7599999999999998E-6</v>
      </c>
      <c r="F39" s="655" t="s">
        <v>39</v>
      </c>
      <c r="G39" s="674" t="s">
        <v>128</v>
      </c>
      <c r="I39" s="304"/>
      <c r="J39" s="304"/>
      <c r="K39" s="304"/>
    </row>
    <row r="40" spans="2:11" s="16" customFormat="1" hidden="1">
      <c r="B40" s="691" t="s">
        <v>70</v>
      </c>
      <c r="C40" s="692">
        <f t="shared" si="2"/>
        <v>6.3951193054978645E-8</v>
      </c>
      <c r="D40" s="693">
        <f t="shared" si="3"/>
        <v>2.8010622558080647E-7</v>
      </c>
      <c r="E40" s="694">
        <v>2.0699999999999997E-6</v>
      </c>
      <c r="F40" s="655" t="s">
        <v>39</v>
      </c>
      <c r="G40" s="674" t="s">
        <v>128</v>
      </c>
      <c r="I40" s="304"/>
      <c r="J40" s="304"/>
      <c r="K40" s="304"/>
    </row>
    <row r="41" spans="2:11" s="16" customFormat="1" hidden="1">
      <c r="B41" s="691" t="s">
        <v>43</v>
      </c>
      <c r="C41" s="692">
        <f t="shared" si="2"/>
        <v>7.4609725230808421E-5</v>
      </c>
      <c r="D41" s="693">
        <f t="shared" si="3"/>
        <v>3.2679059651094088E-4</v>
      </c>
      <c r="E41" s="694">
        <v>2.4149999999999996E-3</v>
      </c>
      <c r="F41" s="655" t="s">
        <v>39</v>
      </c>
      <c r="G41" s="674" t="s">
        <v>128</v>
      </c>
      <c r="I41" s="304"/>
      <c r="J41" s="304"/>
      <c r="K41" s="304"/>
    </row>
    <row r="42" spans="2:11" s="16" customFormat="1" hidden="1">
      <c r="B42" s="691" t="s">
        <v>71</v>
      </c>
      <c r="C42" s="692">
        <f t="shared" si="2"/>
        <v>4.2634128703319108E-8</v>
      </c>
      <c r="D42" s="693">
        <f t="shared" si="3"/>
        <v>1.867374837205377E-7</v>
      </c>
      <c r="E42" s="694">
        <v>1.3799999999999999E-6</v>
      </c>
      <c r="F42" s="655" t="s">
        <v>39</v>
      </c>
      <c r="G42" s="674" t="s">
        <v>128</v>
      </c>
      <c r="I42" s="304"/>
      <c r="J42" s="304"/>
      <c r="K42" s="304"/>
    </row>
    <row r="43" spans="2:11" s="16" customFormat="1" hidden="1">
      <c r="B43" s="691" t="s">
        <v>72</v>
      </c>
      <c r="C43" s="692">
        <f t="shared" si="2"/>
        <v>6.3951193054978645E-8</v>
      </c>
      <c r="D43" s="693">
        <f t="shared" si="3"/>
        <v>2.8010622558080647E-7</v>
      </c>
      <c r="E43" s="694">
        <v>2.0699999999999997E-6</v>
      </c>
      <c r="F43" s="655" t="s">
        <v>39</v>
      </c>
      <c r="G43" s="674" t="s">
        <v>128</v>
      </c>
      <c r="I43" s="304"/>
      <c r="J43" s="304"/>
      <c r="K43" s="304"/>
    </row>
    <row r="44" spans="2:11" s="16" customFormat="1" hidden="1">
      <c r="B44" s="691" t="s">
        <v>73</v>
      </c>
      <c r="C44" s="692">
        <f t="shared" si="2"/>
        <v>4.2634128703319108E-8</v>
      </c>
      <c r="D44" s="693">
        <f t="shared" si="3"/>
        <v>1.867374837205377E-7</v>
      </c>
      <c r="E44" s="694">
        <v>1.3799999999999999E-6</v>
      </c>
      <c r="F44" s="655" t="s">
        <v>39</v>
      </c>
      <c r="G44" s="674" t="s">
        <v>128</v>
      </c>
      <c r="I44" s="304"/>
      <c r="J44" s="304"/>
      <c r="K44" s="304"/>
    </row>
    <row r="45" spans="2:11" s="16" customFormat="1" hidden="1">
      <c r="B45" s="691" t="s">
        <v>74</v>
      </c>
      <c r="C45" s="692">
        <f t="shared" si="2"/>
        <v>6.3951193054978645E-8</v>
      </c>
      <c r="D45" s="693">
        <f t="shared" si="3"/>
        <v>2.8010622558080647E-7</v>
      </c>
      <c r="E45" s="694">
        <v>2.0699999999999997E-6</v>
      </c>
      <c r="F45" s="655" t="s">
        <v>39</v>
      </c>
      <c r="G45" s="674" t="s">
        <v>128</v>
      </c>
      <c r="I45" s="304"/>
      <c r="J45" s="304"/>
      <c r="K45" s="304"/>
    </row>
    <row r="46" spans="2:11" s="16" customFormat="1" hidden="1">
      <c r="B46" s="691" t="s">
        <v>75</v>
      </c>
      <c r="C46" s="692">
        <f t="shared" si="2"/>
        <v>6.3951193054978645E-8</v>
      </c>
      <c r="D46" s="693">
        <f t="shared" si="3"/>
        <v>2.8010622558080647E-7</v>
      </c>
      <c r="E46" s="694">
        <v>2.0699999999999997E-6</v>
      </c>
      <c r="F46" s="655" t="s">
        <v>39</v>
      </c>
      <c r="G46" s="674" t="s">
        <v>128</v>
      </c>
      <c r="I46" s="304"/>
      <c r="J46" s="304"/>
      <c r="K46" s="304"/>
    </row>
    <row r="47" spans="2:11" s="16" customFormat="1" hidden="1">
      <c r="B47" s="691" t="s">
        <v>76</v>
      </c>
      <c r="C47" s="692">
        <f t="shared" si="2"/>
        <v>4.2634128703319108E-8</v>
      </c>
      <c r="D47" s="693">
        <f t="shared" si="3"/>
        <v>1.867374837205377E-7</v>
      </c>
      <c r="E47" s="694">
        <v>1.3799999999999999E-6</v>
      </c>
      <c r="F47" s="655" t="s">
        <v>39</v>
      </c>
      <c r="G47" s="674" t="s">
        <v>128</v>
      </c>
      <c r="I47" s="304"/>
      <c r="J47" s="304"/>
      <c r="K47" s="304"/>
    </row>
    <row r="48" spans="2:11" s="16" customFormat="1" hidden="1">
      <c r="B48" s="691" t="s">
        <v>77</v>
      </c>
      <c r="C48" s="692">
        <f t="shared" si="2"/>
        <v>4.2634128703319099E-5</v>
      </c>
      <c r="D48" s="693">
        <f t="shared" si="3"/>
        <v>1.8673748372053766E-4</v>
      </c>
      <c r="E48" s="694">
        <v>1.3799999999999997E-3</v>
      </c>
      <c r="F48" s="655" t="s">
        <v>39</v>
      </c>
      <c r="G48" s="674" t="s">
        <v>128</v>
      </c>
      <c r="I48" s="304"/>
      <c r="J48" s="304"/>
      <c r="K48" s="304"/>
    </row>
    <row r="49" spans="2:11" s="16" customFormat="1" hidden="1">
      <c r="B49" s="691" t="s">
        <v>78</v>
      </c>
      <c r="C49" s="692">
        <f t="shared" si="2"/>
        <v>1.0658532175829777E-7</v>
      </c>
      <c r="D49" s="693">
        <f t="shared" si="3"/>
        <v>4.6684370930134428E-7</v>
      </c>
      <c r="E49" s="694">
        <v>3.45E-6</v>
      </c>
      <c r="F49" s="655" t="s">
        <v>39</v>
      </c>
      <c r="G49" s="674" t="s">
        <v>128</v>
      </c>
      <c r="I49" s="304"/>
      <c r="J49" s="304"/>
      <c r="K49" s="304"/>
    </row>
    <row r="50" spans="2:11" s="16" customFormat="1" hidden="1">
      <c r="B50" s="691" t="s">
        <v>79</v>
      </c>
      <c r="C50" s="692">
        <f t="shared" si="2"/>
        <v>9.9479633641077912E-8</v>
      </c>
      <c r="D50" s="693">
        <f t="shared" si="3"/>
        <v>4.3572079534792128E-7</v>
      </c>
      <c r="E50" s="694">
        <v>3.2199999999999997E-6</v>
      </c>
      <c r="F50" s="655" t="s">
        <v>39</v>
      </c>
      <c r="G50" s="674" t="s">
        <v>128</v>
      </c>
      <c r="I50" s="304"/>
      <c r="J50" s="304"/>
      <c r="K50" s="304"/>
    </row>
    <row r="51" spans="2:11" s="16" customFormat="1" hidden="1">
      <c r="B51" s="691" t="s">
        <v>106</v>
      </c>
      <c r="C51" s="692">
        <f t="shared" si="2"/>
        <v>2.664633043957444E-3</v>
      </c>
      <c r="D51" s="693">
        <f t="shared" si="3"/>
        <v>1.1671092732533606E-2</v>
      </c>
      <c r="E51" s="694">
        <v>8.6249999999999993E-2</v>
      </c>
      <c r="F51" s="655" t="s">
        <v>39</v>
      </c>
      <c r="G51" s="674" t="s">
        <v>128</v>
      </c>
      <c r="I51" s="304"/>
      <c r="J51" s="304"/>
      <c r="K51" s="304"/>
    </row>
    <row r="52" spans="2:11" s="16" customFormat="1">
      <c r="B52" s="691" t="s">
        <v>80</v>
      </c>
      <c r="C52" s="676">
        <f t="shared" si="2"/>
        <v>6.3951193054978678E-2</v>
      </c>
      <c r="D52" s="697">
        <f t="shared" si="3"/>
        <v>0.28010622558080656</v>
      </c>
      <c r="E52" s="709">
        <f>1.8*(1+'Key Inputs'!$G$2)</f>
        <v>2.0699999999999998</v>
      </c>
      <c r="F52" s="655" t="s">
        <v>39</v>
      </c>
      <c r="G52" s="674" t="s">
        <v>128</v>
      </c>
      <c r="I52" s="304"/>
      <c r="J52" s="304"/>
      <c r="K52" s="304"/>
    </row>
    <row r="53" spans="2:11" s="16" customFormat="1" hidden="1">
      <c r="B53" s="691" t="s">
        <v>81</v>
      </c>
      <c r="C53" s="692">
        <f t="shared" si="2"/>
        <v>6.3951193054978645E-8</v>
      </c>
      <c r="D53" s="693">
        <f t="shared" si="3"/>
        <v>2.8010622558080647E-7</v>
      </c>
      <c r="E53" s="694">
        <v>2.0699999999999997E-6</v>
      </c>
      <c r="F53" s="655" t="s">
        <v>39</v>
      </c>
      <c r="G53" s="674" t="s">
        <v>128</v>
      </c>
      <c r="I53" s="304"/>
      <c r="J53" s="304"/>
      <c r="K53" s="304"/>
    </row>
    <row r="54" spans="2:11" s="16" customFormat="1" hidden="1">
      <c r="B54" s="691" t="s">
        <v>82</v>
      </c>
      <c r="C54" s="692">
        <f t="shared" si="2"/>
        <v>2.1672348757520542E-5</v>
      </c>
      <c r="D54" s="693">
        <f t="shared" si="3"/>
        <v>9.4924887557939973E-5</v>
      </c>
      <c r="E54" s="694">
        <v>7.0149999999999987E-4</v>
      </c>
      <c r="F54" s="655" t="s">
        <v>39</v>
      </c>
      <c r="G54" s="674" t="s">
        <v>128</v>
      </c>
      <c r="I54" s="304"/>
      <c r="J54" s="304"/>
      <c r="K54" s="304"/>
    </row>
    <row r="55" spans="2:11" s="16" customFormat="1" hidden="1">
      <c r="B55" s="691" t="s">
        <v>83</v>
      </c>
      <c r="C55" s="692">
        <f t="shared" si="2"/>
        <v>6.0398348996368727E-7</v>
      </c>
      <c r="D55" s="693">
        <f t="shared" si="3"/>
        <v>2.6454476860409503E-6</v>
      </c>
      <c r="E55" s="694">
        <v>1.9549999999999997E-5</v>
      </c>
      <c r="F55" s="655" t="s">
        <v>39</v>
      </c>
      <c r="G55" s="674" t="s">
        <v>128</v>
      </c>
      <c r="I55" s="304"/>
      <c r="J55" s="304"/>
      <c r="K55" s="304"/>
    </row>
    <row r="56" spans="2:11" s="16" customFormat="1" hidden="1">
      <c r="B56" s="691" t="s">
        <v>84</v>
      </c>
      <c r="C56" s="692">
        <f t="shared" si="2"/>
        <v>1.7764220293049628E-7</v>
      </c>
      <c r="D56" s="693">
        <f t="shared" si="3"/>
        <v>7.7807284883557374E-7</v>
      </c>
      <c r="E56" s="694">
        <v>5.75E-6</v>
      </c>
      <c r="F56" s="655" t="s">
        <v>39</v>
      </c>
      <c r="G56" s="674" t="s">
        <v>128</v>
      </c>
      <c r="I56" s="304"/>
      <c r="J56" s="304"/>
      <c r="K56" s="304"/>
    </row>
    <row r="57" spans="2:11" s="16" customFormat="1" hidden="1">
      <c r="B57" s="691" t="s">
        <v>85</v>
      </c>
      <c r="C57" s="692">
        <f t="shared" si="2"/>
        <v>1.2079669799273747E-4</v>
      </c>
      <c r="D57" s="693">
        <f t="shared" si="3"/>
        <v>5.290895372081901E-4</v>
      </c>
      <c r="E57" s="694">
        <v>3.9099999999999994E-3</v>
      </c>
      <c r="F57" s="655" t="s">
        <v>39</v>
      </c>
      <c r="G57" s="674" t="s">
        <v>128</v>
      </c>
      <c r="I57" s="304"/>
      <c r="J57" s="304"/>
      <c r="K57" s="304"/>
    </row>
    <row r="58" spans="2:11" s="16" customFormat="1">
      <c r="B58" s="688"/>
      <c r="C58" s="695"/>
      <c r="D58" s="696"/>
      <c r="E58" s="677"/>
      <c r="F58" s="690"/>
      <c r="G58" s="674"/>
      <c r="I58" s="304"/>
      <c r="J58" s="304"/>
      <c r="K58" s="304"/>
    </row>
    <row r="59" spans="2:11" s="16" customFormat="1">
      <c r="B59" s="688" t="s">
        <v>261</v>
      </c>
      <c r="C59" s="695"/>
      <c r="D59" s="696"/>
      <c r="E59" s="677"/>
      <c r="F59" s="690"/>
      <c r="G59" s="674"/>
      <c r="I59" s="304"/>
      <c r="J59" s="304"/>
      <c r="K59" s="304"/>
    </row>
    <row r="60" spans="2:11" s="16" customFormat="1">
      <c r="B60" s="691" t="s">
        <v>272</v>
      </c>
      <c r="C60" s="676">
        <f t="shared" ref="C60" si="4">D60/$C$12*2000</f>
        <v>0.11369100987551761</v>
      </c>
      <c r="D60" s="697">
        <f t="shared" ref="D60" si="5">E60*$C$14/2000</f>
        <v>0.49796662325476715</v>
      </c>
      <c r="E60" s="698">
        <f>3.2*(1+'Key Inputs'!$G$2)</f>
        <v>3.6799999999999997</v>
      </c>
      <c r="F60" s="690" t="s">
        <v>39</v>
      </c>
      <c r="G60" s="674" t="s">
        <v>273</v>
      </c>
      <c r="I60" s="304"/>
      <c r="J60" s="304"/>
      <c r="K60" s="304"/>
    </row>
    <row r="61" spans="2:11" s="16" customFormat="1">
      <c r="B61" s="688"/>
      <c r="C61" s="695"/>
      <c r="D61" s="696"/>
      <c r="E61" s="677"/>
      <c r="F61" s="690"/>
      <c r="G61" s="674"/>
      <c r="I61" s="304"/>
      <c r="J61" s="304"/>
      <c r="K61" s="304"/>
    </row>
    <row r="62" spans="2:11" s="16" customFormat="1">
      <c r="B62" s="688" t="s">
        <v>86</v>
      </c>
      <c r="C62" s="695"/>
      <c r="D62" s="696"/>
      <c r="E62" s="677"/>
      <c r="F62" s="690"/>
      <c r="G62" s="674"/>
      <c r="I62" s="304"/>
      <c r="J62" s="304"/>
      <c r="K62" s="304"/>
    </row>
    <row r="63" spans="2:11" s="16" customFormat="1" hidden="1">
      <c r="B63" s="691" t="s">
        <v>87</v>
      </c>
      <c r="C63" s="692">
        <f t="shared" ref="C63:C72" si="6">D63/$C$12*2000</f>
        <v>7.1056881172198504E-6</v>
      </c>
      <c r="D63" s="693">
        <f>E63*$C$14/2000</f>
        <v>3.1122913953422944E-5</v>
      </c>
      <c r="E63" s="694">
        <v>2.2999999999999998E-4</v>
      </c>
      <c r="F63" s="655" t="s">
        <v>39</v>
      </c>
      <c r="G63" s="674" t="s">
        <v>127</v>
      </c>
      <c r="I63" s="304"/>
      <c r="J63" s="304"/>
      <c r="K63" s="304"/>
    </row>
    <row r="64" spans="2:11" s="16" customFormat="1" hidden="1">
      <c r="B64" s="691" t="s">
        <v>88</v>
      </c>
      <c r="C64" s="692">
        <f t="shared" si="6"/>
        <v>1.5632513857883677E-4</v>
      </c>
      <c r="D64" s="693">
        <f t="shared" ref="D64:D72" si="7">E64*$C$14/2000</f>
        <v>6.8470410697530498E-4</v>
      </c>
      <c r="E64" s="694">
        <v>5.0600000000000003E-3</v>
      </c>
      <c r="F64" s="655" t="s">
        <v>39</v>
      </c>
      <c r="G64" s="674" t="s">
        <v>127</v>
      </c>
      <c r="I64" s="304"/>
      <c r="J64" s="304"/>
      <c r="K64" s="304"/>
    </row>
    <row r="65" spans="2:11" s="16" customFormat="1" hidden="1">
      <c r="B65" s="691" t="s">
        <v>11</v>
      </c>
      <c r="C65" s="692">
        <f t="shared" si="6"/>
        <v>3.9081284644709191E-5</v>
      </c>
      <c r="D65" s="693">
        <f t="shared" si="7"/>
        <v>1.7117602674382624E-4</v>
      </c>
      <c r="E65" s="694">
        <v>1.2650000000000001E-3</v>
      </c>
      <c r="F65" s="655" t="s">
        <v>39</v>
      </c>
      <c r="G65" s="674" t="s">
        <v>127</v>
      </c>
      <c r="I65" s="304"/>
      <c r="J65" s="304"/>
      <c r="K65" s="304"/>
    </row>
    <row r="66" spans="2:11" s="16" customFormat="1" hidden="1">
      <c r="B66" s="691" t="s">
        <v>89</v>
      </c>
      <c r="C66" s="692">
        <f t="shared" si="6"/>
        <v>4.9739816820538954E-5</v>
      </c>
      <c r="D66" s="693">
        <f t="shared" si="7"/>
        <v>2.1786039767396063E-4</v>
      </c>
      <c r="E66" s="694">
        <v>1.6099999999999999E-3</v>
      </c>
      <c r="F66" s="655" t="s">
        <v>39</v>
      </c>
      <c r="G66" s="674" t="s">
        <v>127</v>
      </c>
      <c r="I66" s="304"/>
      <c r="J66" s="304"/>
      <c r="K66" s="304"/>
    </row>
    <row r="67" spans="2:11" s="16" customFormat="1" hidden="1">
      <c r="B67" s="691" t="s">
        <v>90</v>
      </c>
      <c r="C67" s="692">
        <f t="shared" si="6"/>
        <v>2.9843890092323373E-6</v>
      </c>
      <c r="D67" s="693">
        <f t="shared" si="7"/>
        <v>1.3071623860437637E-5</v>
      </c>
      <c r="E67" s="694">
        <v>9.659999999999999E-5</v>
      </c>
      <c r="F67" s="655" t="s">
        <v>39</v>
      </c>
      <c r="G67" s="674" t="s">
        <v>127</v>
      </c>
      <c r="I67" s="304"/>
      <c r="J67" s="304"/>
      <c r="K67" s="304"/>
    </row>
    <row r="68" spans="2:11" s="16" customFormat="1">
      <c r="B68" s="691" t="s">
        <v>91</v>
      </c>
      <c r="C68" s="692">
        <f t="shared" si="6"/>
        <v>1.7764220293049628E-5</v>
      </c>
      <c r="D68" s="693">
        <f t="shared" si="7"/>
        <v>7.7807284883557373E-5</v>
      </c>
      <c r="E68" s="694">
        <f>0.0005*(1+'Key Inputs'!$G$2)</f>
        <v>5.7499999999999999E-4</v>
      </c>
      <c r="F68" s="655" t="s">
        <v>39</v>
      </c>
      <c r="G68" s="674" t="s">
        <v>126</v>
      </c>
      <c r="I68" s="304"/>
      <c r="J68" s="304"/>
      <c r="K68" s="304"/>
    </row>
    <row r="69" spans="2:11" s="16" customFormat="1" hidden="1">
      <c r="B69" s="691" t="s">
        <v>7</v>
      </c>
      <c r="C69" s="692">
        <f t="shared" si="6"/>
        <v>1.3500807422717717E-5</v>
      </c>
      <c r="D69" s="693">
        <f t="shared" si="7"/>
        <v>5.9133536511503604E-5</v>
      </c>
      <c r="E69" s="694">
        <v>4.37E-4</v>
      </c>
      <c r="F69" s="655" t="s">
        <v>39</v>
      </c>
      <c r="G69" s="674" t="s">
        <v>127</v>
      </c>
      <c r="I69" s="304"/>
      <c r="J69" s="304"/>
      <c r="K69" s="304"/>
    </row>
    <row r="70" spans="2:11" s="16" customFormat="1">
      <c r="B70" s="691" t="s">
        <v>92</v>
      </c>
      <c r="C70" s="692">
        <f t="shared" si="6"/>
        <v>9.2373945523858053E-6</v>
      </c>
      <c r="D70" s="693">
        <f t="shared" si="7"/>
        <v>4.0459788139449828E-5</v>
      </c>
      <c r="E70" s="694">
        <f>0.00026*(1+'Key Inputs'!$G$2)</f>
        <v>2.9899999999999995E-4</v>
      </c>
      <c r="F70" s="655" t="s">
        <v>39</v>
      </c>
      <c r="G70" s="674" t="s">
        <v>127</v>
      </c>
      <c r="I70" s="304"/>
      <c r="J70" s="304"/>
      <c r="K70" s="304"/>
    </row>
    <row r="71" spans="2:11" s="16" customFormat="1" hidden="1">
      <c r="B71" s="699" t="s">
        <v>12</v>
      </c>
      <c r="C71" s="692">
        <f t="shared" si="6"/>
        <v>7.4609725230808421E-5</v>
      </c>
      <c r="D71" s="693">
        <f t="shared" si="7"/>
        <v>3.2679059651094088E-4</v>
      </c>
      <c r="E71" s="327">
        <v>2.4149999999999996E-3</v>
      </c>
      <c r="F71" s="655" t="s">
        <v>39</v>
      </c>
      <c r="G71" s="674" t="s">
        <v>127</v>
      </c>
      <c r="I71" s="304"/>
      <c r="J71" s="304"/>
      <c r="K71" s="304"/>
    </row>
    <row r="72" spans="2:11" s="16" customFormat="1" hidden="1">
      <c r="B72" s="699" t="s">
        <v>93</v>
      </c>
      <c r="C72" s="692">
        <f t="shared" si="6"/>
        <v>8.5268257406638219E-7</v>
      </c>
      <c r="D72" s="693">
        <f t="shared" si="7"/>
        <v>3.7347496744107542E-6</v>
      </c>
      <c r="E72" s="327">
        <v>2.76E-5</v>
      </c>
      <c r="F72" s="655" t="s">
        <v>39</v>
      </c>
      <c r="G72" s="674" t="s">
        <v>127</v>
      </c>
      <c r="I72" s="304"/>
      <c r="J72" s="304"/>
      <c r="K72" s="304"/>
    </row>
    <row r="73" spans="2:11" s="16" customFormat="1">
      <c r="B73" s="699"/>
      <c r="C73" s="700"/>
      <c r="D73" s="701"/>
      <c r="E73" s="69"/>
      <c r="F73" s="655"/>
      <c r="G73" s="674"/>
      <c r="I73" s="304"/>
      <c r="J73" s="304"/>
      <c r="K73" s="304"/>
    </row>
    <row r="74" spans="2:11" s="16" customFormat="1">
      <c r="B74" s="671" t="s">
        <v>44</v>
      </c>
      <c r="C74" s="672"/>
      <c r="D74" s="701"/>
      <c r="E74" s="69"/>
      <c r="F74" s="655"/>
      <c r="G74" s="674"/>
      <c r="I74" s="304"/>
      <c r="J74" s="304"/>
      <c r="K74" s="304"/>
    </row>
    <row r="75" spans="2:11" s="16" customFormat="1" ht="14.25">
      <c r="B75" s="702" t="s">
        <v>150</v>
      </c>
      <c r="C75" s="71">
        <f>D75/$C$12*2000</f>
        <v>4401.2254039697218</v>
      </c>
      <c r="D75" s="703">
        <v>19277.367269387381</v>
      </c>
      <c r="E75" s="323">
        <f>CONVERT(53.06,"kg","lbm")</f>
        <v>116.97727631529604</v>
      </c>
      <c r="F75" s="679" t="s">
        <v>45</v>
      </c>
      <c r="G75" s="680" t="s">
        <v>256</v>
      </c>
      <c r="I75" s="304"/>
      <c r="J75" s="304"/>
      <c r="K75" s="304"/>
    </row>
    <row r="76" spans="2:11" s="16" customFormat="1" ht="14.25">
      <c r="B76" s="702" t="s">
        <v>151</v>
      </c>
      <c r="C76" s="676">
        <f>D76/$C$12*2000</f>
        <v>8.2948085261396964E-2</v>
      </c>
      <c r="D76" s="703">
        <v>0.36331261344491866</v>
      </c>
      <c r="E76" s="324">
        <f>CONVERT(0.001,"kg","lbm")</f>
        <v>2.2046226218487759E-3</v>
      </c>
      <c r="F76" s="679" t="s">
        <v>45</v>
      </c>
      <c r="G76" s="680" t="s">
        <v>94</v>
      </c>
      <c r="I76" s="304"/>
      <c r="J76" s="304"/>
      <c r="K76" s="304"/>
    </row>
    <row r="77" spans="2:11" s="16" customFormat="1" ht="14.25">
      <c r="B77" s="702" t="s">
        <v>152</v>
      </c>
      <c r="C77" s="676">
        <f>D77/$C$12*2000</f>
        <v>8.2948085261396933E-3</v>
      </c>
      <c r="D77" s="703">
        <v>3.6331261344491855E-2</v>
      </c>
      <c r="E77" s="325">
        <f>CONVERT(0.0001,"kg","lbm")</f>
        <v>2.2046226218487756E-4</v>
      </c>
      <c r="F77" s="679" t="s">
        <v>45</v>
      </c>
      <c r="G77" s="680" t="s">
        <v>94</v>
      </c>
      <c r="I77" s="304"/>
      <c r="J77" s="304"/>
      <c r="K77" s="304"/>
    </row>
    <row r="78" spans="2:11" s="16" customFormat="1" ht="14.25">
      <c r="B78" s="702" t="s">
        <v>153</v>
      </c>
      <c r="C78" s="71">
        <f>D78/$C$12*2000</f>
        <v>4405.7709590420463</v>
      </c>
      <c r="D78" s="704">
        <v>19297.276800604162</v>
      </c>
      <c r="E78" s="74" t="s">
        <v>46</v>
      </c>
      <c r="F78" s="705" t="s">
        <v>46</v>
      </c>
      <c r="G78" s="674" t="s">
        <v>47</v>
      </c>
      <c r="I78" s="304"/>
      <c r="J78" s="304"/>
      <c r="K78" s="304"/>
    </row>
    <row r="79" spans="2:11" s="16" customFormat="1" ht="6" customHeight="1" thickBot="1">
      <c r="B79" s="666"/>
      <c r="C79" s="706"/>
      <c r="D79" s="707"/>
      <c r="E79" s="708"/>
      <c r="F79" s="708"/>
      <c r="G79" s="670"/>
      <c r="I79" s="304"/>
      <c r="J79" s="304"/>
      <c r="K79" s="304"/>
    </row>
    <row r="80" spans="2:11" s="16" customFormat="1" ht="6" customHeight="1">
      <c r="D80" s="15"/>
      <c r="E80" s="655"/>
      <c r="F80" s="655"/>
      <c r="G80" s="17"/>
      <c r="I80" s="304"/>
      <c r="J80" s="304"/>
      <c r="K80" s="304"/>
    </row>
  </sheetData>
  <pageMargins left="0.2" right="0.2" top="0.25" bottom="0.25" header="0.05" footer="0.05"/>
  <pageSetup scale="65"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3BAA1-DD09-4412-A324-84E32D5B8FD3}">
  <dimension ref="B1:K51"/>
  <sheetViews>
    <sheetView topLeftCell="A22" zoomScaleNormal="100" zoomScaleSheetLayoutView="100" workbookViewId="0">
      <selection activeCell="C30" sqref="C30"/>
    </sheetView>
  </sheetViews>
  <sheetFormatPr defaultColWidth="9.140625" defaultRowHeight="12.75"/>
  <cols>
    <col min="1" max="1" width="2.42578125" style="1" customWidth="1"/>
    <col min="2" max="2" width="39.85546875" style="1" customWidth="1"/>
    <col min="3" max="3" width="11.7109375" style="1" customWidth="1"/>
    <col min="4" max="4" width="9" style="1" customWidth="1"/>
    <col min="5" max="5" width="8.7109375" style="1" bestFit="1" customWidth="1"/>
    <col min="6" max="6" width="10.28515625" style="1" bestFit="1" customWidth="1"/>
    <col min="7" max="7" width="64.5703125" style="2" bestFit="1" customWidth="1"/>
    <col min="8" max="8" width="9.140625" style="1"/>
    <col min="9" max="11" width="9.140625" style="304"/>
    <col min="12" max="16384" width="9.140625" style="1"/>
  </cols>
  <sheetData>
    <row r="1" spans="2:11" ht="11.25" customHeight="1"/>
    <row r="2" spans="2:11" s="6" customFormat="1">
      <c r="B2" s="5" t="s">
        <v>2</v>
      </c>
      <c r="C2" s="279" t="s">
        <v>171</v>
      </c>
      <c r="F2" s="5"/>
      <c r="G2" s="7"/>
      <c r="I2" s="305"/>
      <c r="J2" s="305"/>
      <c r="K2" s="305"/>
    </row>
    <row r="3" spans="2:11" s="6" customFormat="1">
      <c r="B3" s="5" t="s">
        <v>3</v>
      </c>
      <c r="C3" s="279" t="s">
        <v>172</v>
      </c>
      <c r="F3" s="5"/>
      <c r="G3" s="7"/>
      <c r="I3" s="305"/>
      <c r="J3" s="305"/>
      <c r="K3" s="305"/>
    </row>
    <row r="4" spans="2:11" s="6" customFormat="1">
      <c r="B4" s="5" t="s">
        <v>4</v>
      </c>
      <c r="C4" s="279" t="s">
        <v>17</v>
      </c>
      <c r="F4" s="5"/>
      <c r="G4" s="7"/>
      <c r="I4" s="305"/>
      <c r="J4" s="305"/>
      <c r="K4" s="305"/>
    </row>
    <row r="5" spans="2:11" s="6" customFormat="1">
      <c r="B5" s="5" t="s">
        <v>173</v>
      </c>
      <c r="C5" s="281" t="str">
        <f>'Key Inputs'!C5</f>
        <v>10/7/2020 - DRAFT</v>
      </c>
      <c r="F5" s="5"/>
      <c r="G5" s="7"/>
      <c r="I5" s="305"/>
      <c r="J5" s="305"/>
      <c r="K5" s="305"/>
    </row>
    <row r="6" spans="2:11" s="6" customFormat="1">
      <c r="B6" s="5"/>
      <c r="C6" s="5"/>
      <c r="D6" s="5"/>
      <c r="F6" s="5"/>
      <c r="G6" s="7"/>
      <c r="I6" s="305"/>
      <c r="J6" s="305"/>
      <c r="K6" s="305"/>
    </row>
    <row r="7" spans="2:11" s="11" customFormat="1">
      <c r="B7" s="10" t="s">
        <v>754</v>
      </c>
      <c r="C7" s="10"/>
      <c r="D7" s="10"/>
      <c r="F7" s="10"/>
      <c r="G7" s="12"/>
      <c r="I7" s="306"/>
      <c r="J7" s="306"/>
      <c r="K7" s="306"/>
    </row>
    <row r="8" spans="2:11" s="16" customFormat="1">
      <c r="B8" s="14"/>
      <c r="C8" s="15"/>
      <c r="G8" s="17"/>
      <c r="I8" s="304"/>
      <c r="J8" s="304"/>
      <c r="K8" s="304"/>
    </row>
    <row r="9" spans="2:11" s="16" customFormat="1">
      <c r="B9" s="649" t="s">
        <v>25</v>
      </c>
      <c r="C9" s="650" t="s">
        <v>765</v>
      </c>
      <c r="D9" s="649"/>
      <c r="G9" s="17"/>
      <c r="I9" s="304"/>
      <c r="J9" s="304"/>
      <c r="K9" s="304"/>
    </row>
    <row r="10" spans="2:11" s="16" customFormat="1">
      <c r="B10" s="649" t="s">
        <v>56</v>
      </c>
      <c r="C10" s="651" t="s">
        <v>21</v>
      </c>
      <c r="D10" s="649"/>
      <c r="G10" s="17"/>
      <c r="I10" s="304"/>
      <c r="J10" s="304"/>
      <c r="K10" s="304"/>
    </row>
    <row r="11" spans="2:11" s="16" customFormat="1">
      <c r="B11" s="649" t="s">
        <v>291</v>
      </c>
      <c r="C11" s="651" t="s">
        <v>21</v>
      </c>
      <c r="D11" s="649"/>
      <c r="G11" s="17"/>
      <c r="I11" s="304"/>
      <c r="J11" s="304"/>
      <c r="K11" s="304"/>
    </row>
    <row r="12" spans="2:11" s="16" customFormat="1">
      <c r="B12" s="649" t="s">
        <v>26</v>
      </c>
      <c r="C12" s="652">
        <v>500</v>
      </c>
      <c r="D12" s="17" t="s">
        <v>10</v>
      </c>
      <c r="G12" s="650"/>
      <c r="I12" s="304"/>
      <c r="J12" s="304"/>
      <c r="K12" s="304"/>
    </row>
    <row r="13" spans="2:11" s="16" customFormat="1">
      <c r="B13" s="649" t="s">
        <v>756</v>
      </c>
      <c r="C13" s="653">
        <v>2</v>
      </c>
      <c r="D13" s="17"/>
      <c r="G13" s="650"/>
      <c r="I13" s="304"/>
      <c r="J13" s="304"/>
      <c r="K13" s="304"/>
    </row>
    <row r="14" spans="2:11" s="16" customFormat="1">
      <c r="B14" s="649" t="s">
        <v>757</v>
      </c>
      <c r="C14" s="653">
        <v>2179</v>
      </c>
      <c r="D14" s="17" t="s">
        <v>768</v>
      </c>
      <c r="G14" s="650"/>
      <c r="I14" s="304"/>
      <c r="J14" s="304"/>
      <c r="K14" s="304"/>
    </row>
    <row r="15" spans="2:11" s="16" customFormat="1">
      <c r="B15" s="649" t="s">
        <v>757</v>
      </c>
      <c r="C15" s="653">
        <v>2922</v>
      </c>
      <c r="D15" s="17" t="s">
        <v>758</v>
      </c>
      <c r="G15" s="650"/>
      <c r="I15" s="304"/>
      <c r="J15" s="304"/>
      <c r="K15" s="304"/>
    </row>
    <row r="16" spans="2:11" s="16" customFormat="1">
      <c r="B16" s="649" t="s">
        <v>759</v>
      </c>
      <c r="C16" s="653">
        <v>7000</v>
      </c>
      <c r="D16" s="17" t="s">
        <v>760</v>
      </c>
      <c r="E16" s="16" t="s">
        <v>761</v>
      </c>
      <c r="G16" s="650"/>
      <c r="I16" s="304"/>
      <c r="J16" s="304"/>
      <c r="K16" s="304"/>
    </row>
    <row r="17" spans="2:11" s="16" customFormat="1">
      <c r="B17" s="649" t="s">
        <v>764</v>
      </c>
      <c r="C17" s="710">
        <v>1.5E-3</v>
      </c>
      <c r="D17" s="17" t="s">
        <v>13</v>
      </c>
      <c r="E17" s="16" t="s">
        <v>762</v>
      </c>
      <c r="G17" s="650"/>
      <c r="I17" s="304"/>
      <c r="J17" s="304"/>
      <c r="K17" s="304"/>
    </row>
    <row r="18" spans="2:11" s="16" customFormat="1">
      <c r="B18" s="649" t="s">
        <v>763</v>
      </c>
      <c r="C18" s="654">
        <v>20.45</v>
      </c>
      <c r="D18" s="17" t="s">
        <v>100</v>
      </c>
      <c r="G18" s="650"/>
      <c r="I18" s="304" t="s">
        <v>752</v>
      </c>
      <c r="J18" s="304"/>
      <c r="K18" s="304"/>
    </row>
    <row r="19" spans="2:11" s="16" customFormat="1">
      <c r="B19" s="649"/>
      <c r="C19" s="654"/>
      <c r="D19" s="17"/>
      <c r="G19" s="650"/>
      <c r="I19" s="304"/>
      <c r="J19" s="304"/>
      <c r="K19" s="304"/>
    </row>
    <row r="20" spans="2:11" s="11" customFormat="1">
      <c r="B20" s="316" t="s">
        <v>766</v>
      </c>
      <c r="C20" s="316"/>
      <c r="D20" s="316"/>
      <c r="E20" s="317"/>
      <c r="F20" s="316"/>
      <c r="G20" s="331"/>
      <c r="I20" s="306"/>
      <c r="J20" s="306"/>
      <c r="K20" s="306"/>
    </row>
    <row r="21" spans="2:11" s="16" customFormat="1" ht="6" customHeight="1" thickBot="1">
      <c r="D21" s="15"/>
      <c r="E21" s="655"/>
      <c r="F21" s="655"/>
      <c r="G21" s="17"/>
      <c r="I21" s="304"/>
      <c r="J21" s="304"/>
      <c r="K21" s="304"/>
    </row>
    <row r="22" spans="2:11" s="16" customFormat="1" ht="6" customHeight="1">
      <c r="B22" s="656"/>
      <c r="C22" s="657"/>
      <c r="D22" s="658"/>
      <c r="E22" s="659"/>
      <c r="F22" s="659"/>
      <c r="G22" s="660"/>
      <c r="I22" s="304"/>
      <c r="J22" s="304"/>
      <c r="K22" s="304"/>
    </row>
    <row r="23" spans="2:11" s="664" customFormat="1" ht="63.75">
      <c r="B23" s="661" t="s">
        <v>32</v>
      </c>
      <c r="C23" s="662" t="s">
        <v>140</v>
      </c>
      <c r="D23" s="662" t="s">
        <v>141</v>
      </c>
      <c r="E23" s="662" t="s">
        <v>139</v>
      </c>
      <c r="F23" s="662" t="s">
        <v>35</v>
      </c>
      <c r="G23" s="663" t="s">
        <v>36</v>
      </c>
      <c r="I23" s="665"/>
      <c r="J23" s="665"/>
      <c r="K23" s="665"/>
    </row>
    <row r="24" spans="2:11" s="16" customFormat="1" ht="6" customHeight="1" thickBot="1">
      <c r="B24" s="666"/>
      <c r="C24" s="667"/>
      <c r="D24" s="668"/>
      <c r="E24" s="669"/>
      <c r="F24" s="669"/>
      <c r="G24" s="670"/>
      <c r="I24" s="304"/>
      <c r="J24" s="304"/>
      <c r="K24" s="304"/>
    </row>
    <row r="25" spans="2:11" s="16" customFormat="1" ht="6" customHeight="1">
      <c r="B25" s="656"/>
      <c r="C25" s="657"/>
      <c r="D25" s="658"/>
      <c r="E25" s="659"/>
      <c r="F25" s="659"/>
      <c r="G25" s="660"/>
      <c r="I25" s="304"/>
      <c r="J25" s="304"/>
      <c r="K25" s="304"/>
    </row>
    <row r="26" spans="2:11" s="16" customFormat="1">
      <c r="B26" s="671" t="s">
        <v>37</v>
      </c>
      <c r="C26" s="672"/>
      <c r="D26" s="673"/>
      <c r="E26" s="655"/>
      <c r="F26" s="655"/>
      <c r="G26" s="674"/>
      <c r="I26" s="304"/>
      <c r="J26" s="304"/>
      <c r="K26" s="304"/>
    </row>
    <row r="27" spans="2:11" s="16" customFormat="1">
      <c r="B27" s="675" t="s">
        <v>228</v>
      </c>
      <c r="C27" s="676">
        <f>E27*$C$14/453.6*2</f>
        <v>2.705591666666666</v>
      </c>
      <c r="D27" s="677">
        <f>C27*$C$12/2000</f>
        <v>0.67639791666666649</v>
      </c>
      <c r="E27" s="711">
        <v>0.28160999999999997</v>
      </c>
      <c r="F27" s="679" t="s">
        <v>767</v>
      </c>
      <c r="G27" s="680" t="s">
        <v>769</v>
      </c>
      <c r="I27" s="304"/>
      <c r="J27" s="304"/>
      <c r="K27" s="304"/>
    </row>
    <row r="28" spans="2:11" s="16" customFormat="1" ht="14.25">
      <c r="B28" s="675" t="s">
        <v>229</v>
      </c>
      <c r="C28" s="676">
        <f t="shared" ref="C28:C29" si="0">E28*$C$14/453.6*2</f>
        <v>2.705591666666666</v>
      </c>
      <c r="D28" s="677">
        <f t="shared" ref="D28:D29" si="1">C28*$C$12/2000</f>
        <v>0.67639791666666649</v>
      </c>
      <c r="E28" s="711">
        <v>0.28160999999999997</v>
      </c>
      <c r="F28" s="679" t="s">
        <v>767</v>
      </c>
      <c r="G28" s="680" t="s">
        <v>769</v>
      </c>
      <c r="I28" s="304"/>
      <c r="J28" s="304"/>
      <c r="K28" s="304"/>
    </row>
    <row r="29" spans="2:11" s="16" customFormat="1" ht="14.25">
      <c r="B29" s="675" t="s">
        <v>230</v>
      </c>
      <c r="C29" s="676">
        <f t="shared" si="0"/>
        <v>2.705591666666666</v>
      </c>
      <c r="D29" s="677">
        <f t="shared" si="1"/>
        <v>0.67639791666666649</v>
      </c>
      <c r="E29" s="711">
        <v>0.28160999999999997</v>
      </c>
      <c r="F29" s="679" t="s">
        <v>767</v>
      </c>
      <c r="G29" s="680" t="s">
        <v>769</v>
      </c>
      <c r="I29" s="304"/>
      <c r="J29" s="304"/>
      <c r="K29" s="304"/>
    </row>
    <row r="30" spans="2:11" s="160" customFormat="1" ht="15" customHeight="1">
      <c r="B30" s="675" t="s">
        <v>227</v>
      </c>
      <c r="C30" s="676">
        <f>E30*$C$18*2</f>
        <v>0.36216949999999998</v>
      </c>
      <c r="D30" s="677">
        <f>C30*$C$12/2000</f>
        <v>9.0542374999999994E-2</v>
      </c>
      <c r="E30" s="712">
        <f>0.0077*(1+'Key Inputs'!G2)</f>
        <v>8.855E-3</v>
      </c>
      <c r="F30" s="679" t="s">
        <v>45</v>
      </c>
      <c r="G30" s="680" t="s">
        <v>772</v>
      </c>
      <c r="I30" s="310"/>
      <c r="J30" s="310"/>
      <c r="K30" s="310"/>
    </row>
    <row r="31" spans="2:11" s="16" customFormat="1" ht="14.25">
      <c r="B31" s="675" t="s">
        <v>148</v>
      </c>
      <c r="C31" s="676">
        <f t="shared" ref="C31:C32" si="2">E31*$C$14/453.6*2</f>
        <v>90.186388888888885</v>
      </c>
      <c r="D31" s="677">
        <f t="shared" ref="D31:D33" si="3">C31*$C$12/2000</f>
        <v>22.546597222222221</v>
      </c>
      <c r="E31" s="711">
        <v>9.3870000000000005</v>
      </c>
      <c r="F31" s="679" t="s">
        <v>767</v>
      </c>
      <c r="G31" s="682" t="s">
        <v>769</v>
      </c>
      <c r="I31" s="304"/>
      <c r="J31" s="304"/>
      <c r="K31" s="304"/>
    </row>
    <row r="32" spans="2:11" s="16" customFormat="1">
      <c r="B32" s="675" t="s">
        <v>65</v>
      </c>
      <c r="C32" s="676">
        <f t="shared" si="2"/>
        <v>6.4418849206349194</v>
      </c>
      <c r="D32" s="677">
        <f t="shared" si="3"/>
        <v>1.6104712301587298</v>
      </c>
      <c r="E32" s="711">
        <v>0.67049999999999998</v>
      </c>
      <c r="F32" s="679" t="s">
        <v>767</v>
      </c>
      <c r="G32" s="682" t="s">
        <v>769</v>
      </c>
      <c r="I32" s="304"/>
      <c r="J32" s="304"/>
      <c r="K32" s="304"/>
    </row>
    <row r="33" spans="2:11" s="16" customFormat="1" ht="14.25">
      <c r="B33" s="675" t="s">
        <v>149</v>
      </c>
      <c r="C33" s="676">
        <f>E33*C15*2</f>
        <v>8.1554480999999984E-2</v>
      </c>
      <c r="D33" s="677">
        <f t="shared" si="3"/>
        <v>2.0388620249999996E-2</v>
      </c>
      <c r="E33" s="713">
        <f>0.00809*C17*(1+'Key Inputs'!G2)</f>
        <v>1.3955249999999998E-5</v>
      </c>
      <c r="F33" s="679" t="s">
        <v>770</v>
      </c>
      <c r="G33" s="682" t="s">
        <v>771</v>
      </c>
      <c r="I33" s="304"/>
      <c r="J33" s="304"/>
      <c r="K33" s="304"/>
    </row>
    <row r="34" spans="2:11" s="16" customFormat="1">
      <c r="B34" s="675" t="s">
        <v>40</v>
      </c>
      <c r="C34" s="676">
        <f>E34*$C$14/453.6*2</f>
        <v>12.883769841269839</v>
      </c>
      <c r="D34" s="677">
        <f>C34*$C$12/2000</f>
        <v>3.2209424603174597</v>
      </c>
      <c r="E34" s="711">
        <v>1.341</v>
      </c>
      <c r="F34" s="679" t="s">
        <v>767</v>
      </c>
      <c r="G34" s="682" t="s">
        <v>769</v>
      </c>
      <c r="I34" s="304"/>
      <c r="J34" s="304"/>
      <c r="K34" s="304"/>
    </row>
    <row r="35" spans="2:11" s="16" customFormat="1" ht="6" customHeight="1">
      <c r="B35" s="675"/>
      <c r="C35" s="683"/>
      <c r="D35" s="684"/>
      <c r="E35" s="685"/>
      <c r="F35" s="655"/>
      <c r="G35" s="674"/>
      <c r="I35" s="304"/>
      <c r="J35" s="304"/>
      <c r="K35" s="304"/>
    </row>
    <row r="36" spans="2:11" s="16" customFormat="1">
      <c r="B36" s="671" t="s">
        <v>41</v>
      </c>
      <c r="C36" s="672"/>
      <c r="D36" s="684"/>
      <c r="E36" s="686"/>
      <c r="F36" s="687"/>
      <c r="G36" s="674"/>
      <c r="I36" s="304"/>
      <c r="J36" s="304"/>
      <c r="K36" s="304"/>
    </row>
    <row r="37" spans="2:11" s="16" customFormat="1">
      <c r="B37" s="688" t="s">
        <v>42</v>
      </c>
      <c r="C37" s="689"/>
      <c r="D37" s="684"/>
      <c r="E37" s="677"/>
      <c r="F37" s="690"/>
      <c r="G37" s="674"/>
      <c r="I37" s="304"/>
      <c r="J37" s="304"/>
      <c r="K37" s="304"/>
    </row>
    <row r="38" spans="2:11" s="16" customFormat="1">
      <c r="B38" s="691" t="s">
        <v>43</v>
      </c>
      <c r="C38" s="692">
        <f t="shared" ref="C38:C43" si="4">E38*$C$18*2</f>
        <v>3.6499159999999996E-2</v>
      </c>
      <c r="D38" s="693">
        <f t="shared" ref="D38:D43" si="5">C38*$C$12/2000</f>
        <v>9.1247899999999989E-3</v>
      </c>
      <c r="E38" s="694">
        <f>0.000776*(1+'Key Inputs'!G2)</f>
        <v>8.923999999999999E-4</v>
      </c>
      <c r="F38" s="679" t="s">
        <v>45</v>
      </c>
      <c r="G38" s="680" t="s">
        <v>775</v>
      </c>
      <c r="I38" s="304"/>
      <c r="J38" s="304"/>
      <c r="K38" s="304"/>
    </row>
    <row r="39" spans="2:11" s="16" customFormat="1">
      <c r="B39" s="691" t="s">
        <v>85</v>
      </c>
      <c r="C39" s="692">
        <f t="shared" si="4"/>
        <v>1.14929E-2</v>
      </c>
      <c r="D39" s="693">
        <f t="shared" si="5"/>
        <v>2.8732250000000001E-3</v>
      </c>
      <c r="E39" s="694">
        <f>0.000281*(1+'Key Inputs'!G3)</f>
        <v>2.81E-4</v>
      </c>
      <c r="F39" s="679" t="s">
        <v>45</v>
      </c>
      <c r="G39" s="680" t="s">
        <v>775</v>
      </c>
      <c r="I39" s="304"/>
      <c r="J39" s="304"/>
      <c r="K39" s="304"/>
    </row>
    <row r="40" spans="2:11" s="16" customFormat="1">
      <c r="B40" s="691" t="s">
        <v>107</v>
      </c>
      <c r="C40" s="692">
        <f t="shared" si="4"/>
        <v>7.8937E-3</v>
      </c>
      <c r="D40" s="693">
        <f t="shared" si="5"/>
        <v>1.973425E-3</v>
      </c>
      <c r="E40" s="694">
        <f>0.000193*(1+'Key Inputs'!G4)</f>
        <v>1.93E-4</v>
      </c>
      <c r="F40" s="679" t="s">
        <v>45</v>
      </c>
      <c r="G40" s="680" t="s">
        <v>775</v>
      </c>
      <c r="I40" s="304"/>
      <c r="J40" s="304"/>
      <c r="K40" s="304"/>
    </row>
    <row r="41" spans="2:11" s="16" customFormat="1">
      <c r="B41" s="691" t="s">
        <v>106</v>
      </c>
      <c r="C41" s="692">
        <f t="shared" si="4"/>
        <v>3.2270099999999998E-3</v>
      </c>
      <c r="D41" s="693">
        <f t="shared" si="5"/>
        <v>8.0675249999999994E-4</v>
      </c>
      <c r="E41" s="694">
        <f>0.0000789*(1+'Key Inputs'!G5)</f>
        <v>7.8899999999999993E-5</v>
      </c>
      <c r="F41" s="679" t="s">
        <v>45</v>
      </c>
      <c r="G41" s="680" t="s">
        <v>775</v>
      </c>
      <c r="I41" s="304"/>
      <c r="J41" s="304"/>
      <c r="K41" s="304"/>
    </row>
    <row r="42" spans="2:11" s="16" customFormat="1">
      <c r="B42" s="691" t="s">
        <v>773</v>
      </c>
      <c r="C42" s="692">
        <f t="shared" si="4"/>
        <v>1.03068E-3</v>
      </c>
      <c r="D42" s="693">
        <f t="shared" si="5"/>
        <v>2.5766999999999999E-4</v>
      </c>
      <c r="E42" s="694">
        <f>0.0000252*(1+'Key Inputs'!G6)</f>
        <v>2.5199999999999999E-5</v>
      </c>
      <c r="F42" s="679" t="s">
        <v>45</v>
      </c>
      <c r="G42" s="680" t="s">
        <v>775</v>
      </c>
      <c r="I42" s="304"/>
      <c r="J42" s="304"/>
      <c r="K42" s="304"/>
    </row>
    <row r="43" spans="2:11" s="16" customFormat="1">
      <c r="B43" s="691" t="s">
        <v>774</v>
      </c>
      <c r="C43" s="692">
        <f t="shared" si="4"/>
        <v>3.2229200000000001E-4</v>
      </c>
      <c r="D43" s="693">
        <f t="shared" si="5"/>
        <v>8.0573000000000003E-5</v>
      </c>
      <c r="E43" s="694">
        <f>0.00000788*(1+'Key Inputs'!G7)</f>
        <v>7.8800000000000008E-6</v>
      </c>
      <c r="F43" s="679" t="s">
        <v>45</v>
      </c>
      <c r="G43" s="680" t="s">
        <v>775</v>
      </c>
      <c r="I43" s="304"/>
      <c r="J43" s="304"/>
      <c r="K43" s="304"/>
    </row>
    <row r="44" spans="2:11" s="16" customFormat="1">
      <c r="B44" s="688"/>
      <c r="C44" s="695"/>
      <c r="D44" s="696"/>
      <c r="E44" s="677"/>
      <c r="F44" s="690"/>
      <c r="G44" s="674"/>
      <c r="I44" s="304"/>
      <c r="J44" s="304"/>
      <c r="K44" s="304"/>
    </row>
    <row r="45" spans="2:11" s="16" customFormat="1">
      <c r="B45" s="671" t="s">
        <v>44</v>
      </c>
      <c r="C45" s="672"/>
      <c r="D45" s="701"/>
      <c r="E45" s="69"/>
      <c r="F45" s="655"/>
      <c r="G45" s="674"/>
      <c r="I45" s="304"/>
      <c r="J45" s="304"/>
      <c r="K45" s="304"/>
    </row>
    <row r="46" spans="2:11" s="16" customFormat="1" ht="14.25">
      <c r="B46" s="702" t="s">
        <v>150</v>
      </c>
      <c r="C46" s="71">
        <f>D46/$C$12*2000</f>
        <v>8121.7248151682961</v>
      </c>
      <c r="D46" s="703">
        <v>2030.4312037920738</v>
      </c>
      <c r="E46" s="323">
        <f>CONVERT(73.96,"kg","lbm")</f>
        <v>163.05388911193543</v>
      </c>
      <c r="F46" s="679" t="s">
        <v>45</v>
      </c>
      <c r="G46" s="680" t="s">
        <v>776</v>
      </c>
      <c r="I46" s="304"/>
      <c r="J46" s="304"/>
      <c r="K46" s="304"/>
    </row>
    <row r="47" spans="2:11" s="16" customFormat="1" ht="14.25">
      <c r="B47" s="702" t="s">
        <v>151</v>
      </c>
      <c r="C47" s="676">
        <f>D47/$C$12*2000</f>
        <v>0.32943718828427382</v>
      </c>
      <c r="D47" s="703">
        <v>8.2359297071068455E-2</v>
      </c>
      <c r="E47" s="324">
        <f>CONVERT(0.003,"kg","lbm")</f>
        <v>6.6138678655463272E-3</v>
      </c>
      <c r="F47" s="679" t="s">
        <v>45</v>
      </c>
      <c r="G47" s="680" t="s">
        <v>777</v>
      </c>
      <c r="I47" s="304"/>
      <c r="J47" s="304"/>
      <c r="K47" s="304"/>
    </row>
    <row r="48" spans="2:11" s="16" customFormat="1" ht="14.25">
      <c r="B48" s="702" t="s">
        <v>152</v>
      </c>
      <c r="C48" s="676">
        <f>D48/$C$12*2000</f>
        <v>6.5887437656854758E-2</v>
      </c>
      <c r="D48" s="703">
        <v>1.647185941421369E-2</v>
      </c>
      <c r="E48" s="325">
        <f>CONVERT(0.0006,"kg","lbm")</f>
        <v>1.3227735731092653E-3</v>
      </c>
      <c r="F48" s="679" t="s">
        <v>45</v>
      </c>
      <c r="G48" s="680" t="s">
        <v>777</v>
      </c>
      <c r="I48" s="304"/>
      <c r="J48" s="304"/>
      <c r="K48" s="304"/>
    </row>
    <row r="49" spans="2:11" s="16" customFormat="1" ht="14.25">
      <c r="B49" s="702" t="s">
        <v>153</v>
      </c>
      <c r="C49" s="71">
        <f>D49/$C$12*2000</f>
        <v>8149.5952012971438</v>
      </c>
      <c r="D49" s="704">
        <v>2037.3988003242862</v>
      </c>
      <c r="E49" s="74" t="s">
        <v>46</v>
      </c>
      <c r="F49" s="705" t="s">
        <v>46</v>
      </c>
      <c r="G49" s="674" t="s">
        <v>47</v>
      </c>
      <c r="I49" s="304"/>
      <c r="J49" s="304"/>
      <c r="K49" s="304"/>
    </row>
    <row r="50" spans="2:11" s="16" customFormat="1" ht="6" customHeight="1" thickBot="1">
      <c r="B50" s="666"/>
      <c r="C50" s="706"/>
      <c r="D50" s="707"/>
      <c r="E50" s="708"/>
      <c r="F50" s="708"/>
      <c r="G50" s="670"/>
      <c r="I50" s="304"/>
      <c r="J50" s="304"/>
      <c r="K50" s="304"/>
    </row>
    <row r="51" spans="2:11" s="16" customFormat="1" ht="6" customHeight="1">
      <c r="D51" s="15"/>
      <c r="E51" s="655"/>
      <c r="F51" s="655"/>
      <c r="G51" s="17"/>
      <c r="I51" s="304"/>
      <c r="J51" s="304"/>
      <c r="K51" s="304"/>
    </row>
  </sheetData>
  <pageMargins left="0.2" right="0.2" top="0.25" bottom="0.25" header="0.05" footer="0.05"/>
  <pageSetup scale="65"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C91"/>
  <sheetViews>
    <sheetView zoomScale="150" zoomScaleNormal="150" zoomScaleSheetLayoutView="100" workbookViewId="0">
      <pane xSplit="3" ySplit="13" topLeftCell="D14" activePane="bottomRight" state="frozen"/>
      <selection pane="topRight" activeCell="D1" sqref="D1"/>
      <selection pane="bottomLeft" activeCell="A14" sqref="A14"/>
      <selection pane="bottomRight" activeCell="D22" sqref="D22:Y22"/>
    </sheetView>
  </sheetViews>
  <sheetFormatPr defaultColWidth="9.140625" defaultRowHeight="12.75"/>
  <cols>
    <col min="1" max="1" width="3" style="90" customWidth="1"/>
    <col min="2" max="2" width="14.85546875" style="90" customWidth="1"/>
    <col min="3" max="3" width="27.140625" style="90" customWidth="1"/>
    <col min="4" max="25" width="10.5703125" style="90" customWidth="1"/>
    <col min="26" max="26" width="9.140625" style="112"/>
    <col min="27" max="27" width="9.140625" style="92"/>
    <col min="28" max="16384" width="9.140625" style="90"/>
  </cols>
  <sheetData>
    <row r="1" spans="1:29" s="1" customFormat="1" ht="11.25" customHeight="1">
      <c r="H1" s="3"/>
      <c r="I1" s="4"/>
      <c r="J1" s="3"/>
      <c r="K1" s="4"/>
      <c r="Z1" s="106"/>
      <c r="AA1" s="304"/>
    </row>
    <row r="2" spans="1:29" s="6" customFormat="1">
      <c r="B2" s="5" t="str">
        <f>'Key Inputs'!B2</f>
        <v>Company Name:</v>
      </c>
      <c r="C2" s="279" t="str">
        <f>'Key Inputs'!C2</f>
        <v>U. S. Steel Corp.</v>
      </c>
      <c r="F2" s="5"/>
      <c r="H2" s="8"/>
      <c r="I2" s="9"/>
      <c r="J2" s="8"/>
      <c r="K2" s="9"/>
      <c r="Z2" s="107"/>
      <c r="AA2" s="305"/>
    </row>
    <row r="3" spans="1:29" s="6" customFormat="1">
      <c r="B3" s="5" t="str">
        <f>'Key Inputs'!B3</f>
        <v>Site Name:</v>
      </c>
      <c r="C3" s="279" t="str">
        <f>'Key Inputs'!C3</f>
        <v>Edgar Thomson Plant</v>
      </c>
      <c r="F3" s="5"/>
      <c r="H3" s="8"/>
      <c r="I3" s="9"/>
      <c r="J3" s="8"/>
      <c r="K3" s="9"/>
      <c r="Z3" s="107"/>
      <c r="AA3" s="305"/>
    </row>
    <row r="4" spans="1:29" s="6" customFormat="1">
      <c r="B4" s="5" t="str">
        <f>'Key Inputs'!B4</f>
        <v>Description:</v>
      </c>
      <c r="C4" s="279" t="str">
        <f>'Key Inputs'!C4</f>
        <v>Title V Permit Renewal</v>
      </c>
      <c r="F4" s="5"/>
      <c r="H4" s="8"/>
      <c r="I4" s="9"/>
      <c r="J4" s="8"/>
      <c r="K4" s="9"/>
      <c r="Z4" s="107"/>
      <c r="AA4" s="305"/>
    </row>
    <row r="5" spans="1:29" s="6" customFormat="1">
      <c r="B5" s="5" t="str">
        <f>'Key Inputs'!B5</f>
        <v>Date:</v>
      </c>
      <c r="C5" s="281" t="str">
        <f>'Key Inputs'!C5</f>
        <v>10/7/2020 - DRAFT</v>
      </c>
      <c r="F5" s="5"/>
      <c r="H5" s="8"/>
      <c r="I5" s="9"/>
      <c r="J5" s="8"/>
      <c r="K5" s="9"/>
      <c r="Z5" s="107"/>
      <c r="AA5" s="305"/>
    </row>
    <row r="6" spans="1:29" s="6" customFormat="1" ht="18.75" customHeight="1">
      <c r="B6" s="5"/>
      <c r="C6" s="5"/>
      <c r="D6" s="5"/>
      <c r="F6" s="5"/>
      <c r="H6" s="8"/>
      <c r="I6" s="9"/>
      <c r="J6" s="8"/>
      <c r="K6" s="9"/>
      <c r="Z6" s="107"/>
      <c r="AA6" s="305"/>
    </row>
    <row r="7" spans="1:29" s="13" customFormat="1">
      <c r="B7" s="85" t="s">
        <v>621</v>
      </c>
      <c r="C7" s="85"/>
      <c r="D7" s="85"/>
      <c r="F7" s="85"/>
      <c r="I7" s="86"/>
      <c r="K7" s="86"/>
      <c r="Z7" s="108"/>
      <c r="AA7" s="516"/>
    </row>
    <row r="8" spans="1:29" s="18" customFormat="1" ht="13.5" thickBot="1">
      <c r="B8" s="109"/>
      <c r="C8" s="27"/>
      <c r="I8" s="22"/>
      <c r="K8" s="22"/>
      <c r="Z8" s="110"/>
      <c r="AA8" s="307"/>
    </row>
    <row r="9" spans="1:29" s="18" customFormat="1" ht="6" customHeight="1">
      <c r="B9" s="405"/>
      <c r="C9" s="406"/>
      <c r="D9" s="29"/>
      <c r="E9" s="29"/>
      <c r="F9" s="29"/>
      <c r="G9" s="29"/>
      <c r="H9" s="29"/>
      <c r="I9" s="111"/>
      <c r="J9" s="29"/>
      <c r="K9" s="111"/>
      <c r="L9" s="29"/>
      <c r="M9" s="29"/>
      <c r="N9" s="29"/>
      <c r="O9" s="29"/>
      <c r="P9" s="29"/>
      <c r="Q9" s="29"/>
      <c r="R9" s="29"/>
      <c r="S9" s="29"/>
      <c r="T9" s="29"/>
      <c r="U9" s="29"/>
      <c r="V9" s="29"/>
      <c r="W9" s="29"/>
      <c r="X9" s="29"/>
      <c r="Y9" s="32"/>
      <c r="Z9" s="110"/>
      <c r="AA9" s="307"/>
    </row>
    <row r="10" spans="1:29" s="113" customFormat="1" ht="15" customHeight="1" thickBot="1">
      <c r="A10" s="123"/>
      <c r="B10" s="819" t="s">
        <v>56</v>
      </c>
      <c r="C10" s="820" t="s">
        <v>0</v>
      </c>
      <c r="D10" s="821" t="s">
        <v>113</v>
      </c>
      <c r="E10" s="821"/>
      <c r="F10" s="821"/>
      <c r="G10" s="821"/>
      <c r="H10" s="821"/>
      <c r="I10" s="821"/>
      <c r="J10" s="821"/>
      <c r="K10" s="821"/>
      <c r="L10" s="821"/>
      <c r="M10" s="821"/>
      <c r="N10" s="821"/>
      <c r="O10" s="821"/>
      <c r="P10" s="821"/>
      <c r="Q10" s="821"/>
      <c r="R10" s="821"/>
      <c r="S10" s="821"/>
      <c r="T10" s="821"/>
      <c r="U10" s="821"/>
      <c r="V10" s="821"/>
      <c r="W10" s="821"/>
      <c r="X10" s="821"/>
      <c r="Y10" s="822"/>
      <c r="Z10" s="112"/>
      <c r="AA10" s="728" t="s">
        <v>784</v>
      </c>
    </row>
    <row r="11" spans="1:29" s="113" customFormat="1" ht="14.25">
      <c r="A11" s="123"/>
      <c r="B11" s="819"/>
      <c r="C11" s="820"/>
      <c r="D11" s="818" t="s">
        <v>64</v>
      </c>
      <c r="E11" s="818"/>
      <c r="F11" s="816" t="s">
        <v>159</v>
      </c>
      <c r="G11" s="817"/>
      <c r="H11" s="816" t="s">
        <v>160</v>
      </c>
      <c r="I11" s="817"/>
      <c r="J11" s="818" t="s">
        <v>426</v>
      </c>
      <c r="K11" s="818"/>
      <c r="L11" s="816" t="s">
        <v>161</v>
      </c>
      <c r="M11" s="817"/>
      <c r="N11" s="824" t="s">
        <v>101</v>
      </c>
      <c r="O11" s="824"/>
      <c r="P11" s="816" t="s">
        <v>134</v>
      </c>
      <c r="Q11" s="817"/>
      <c r="R11" s="818" t="s">
        <v>114</v>
      </c>
      <c r="S11" s="818"/>
      <c r="T11" s="816" t="s">
        <v>91</v>
      </c>
      <c r="U11" s="817"/>
      <c r="V11" s="816" t="s">
        <v>427</v>
      </c>
      <c r="W11" s="817"/>
      <c r="X11" s="818" t="s">
        <v>162</v>
      </c>
      <c r="Y11" s="823"/>
      <c r="Z11" s="112"/>
      <c r="AA11" s="728"/>
    </row>
    <row r="12" spans="1:29" s="114" customFormat="1">
      <c r="A12" s="90"/>
      <c r="B12" s="819"/>
      <c r="C12" s="820"/>
      <c r="D12" s="296" t="s">
        <v>115</v>
      </c>
      <c r="E12" s="296" t="s">
        <v>116</v>
      </c>
      <c r="F12" s="295" t="s">
        <v>115</v>
      </c>
      <c r="G12" s="297" t="s">
        <v>116</v>
      </c>
      <c r="H12" s="295" t="s">
        <v>115</v>
      </c>
      <c r="I12" s="297" t="s">
        <v>116</v>
      </c>
      <c r="J12" s="296" t="s">
        <v>115</v>
      </c>
      <c r="K12" s="296" t="s">
        <v>116</v>
      </c>
      <c r="L12" s="295" t="s">
        <v>115</v>
      </c>
      <c r="M12" s="297" t="s">
        <v>116</v>
      </c>
      <c r="N12" s="296" t="s">
        <v>115</v>
      </c>
      <c r="O12" s="296" t="s">
        <v>116</v>
      </c>
      <c r="P12" s="295" t="s">
        <v>115</v>
      </c>
      <c r="Q12" s="297" t="s">
        <v>116</v>
      </c>
      <c r="R12" s="296" t="s">
        <v>115</v>
      </c>
      <c r="S12" s="296" t="s">
        <v>116</v>
      </c>
      <c r="T12" s="295" t="s">
        <v>115</v>
      </c>
      <c r="U12" s="297" t="s">
        <v>116</v>
      </c>
      <c r="V12" s="295" t="s">
        <v>115</v>
      </c>
      <c r="W12" s="297" t="s">
        <v>116</v>
      </c>
      <c r="X12" s="296" t="s">
        <v>115</v>
      </c>
      <c r="Y12" s="297" t="s">
        <v>116</v>
      </c>
      <c r="Z12" s="112"/>
      <c r="AA12" s="729"/>
    </row>
    <row r="13" spans="1:29" ht="5.25" customHeight="1" thickBot="1">
      <c r="B13" s="115"/>
      <c r="C13" s="116"/>
      <c r="D13" s="117"/>
      <c r="E13" s="117"/>
      <c r="F13" s="115"/>
      <c r="G13" s="118"/>
      <c r="H13" s="115"/>
      <c r="I13" s="118"/>
      <c r="J13" s="117"/>
      <c r="K13" s="117"/>
      <c r="L13" s="115"/>
      <c r="M13" s="118"/>
      <c r="N13" s="117"/>
      <c r="O13" s="117"/>
      <c r="P13" s="115"/>
      <c r="Q13" s="118"/>
      <c r="R13" s="117"/>
      <c r="S13" s="117"/>
      <c r="T13" s="115"/>
      <c r="U13" s="118"/>
      <c r="V13" s="115"/>
      <c r="W13" s="118"/>
      <c r="X13" s="117"/>
      <c r="Y13" s="118"/>
    </row>
    <row r="14" spans="1:29" ht="7.5" customHeight="1">
      <c r="B14" s="119"/>
      <c r="C14" s="120"/>
      <c r="D14" s="401"/>
      <c r="E14" s="401"/>
      <c r="F14" s="401"/>
      <c r="G14" s="401"/>
      <c r="H14" s="401"/>
      <c r="I14" s="401"/>
      <c r="J14" s="401"/>
      <c r="K14" s="401"/>
      <c r="L14" s="401"/>
      <c r="M14" s="401"/>
      <c r="N14" s="401"/>
      <c r="O14" s="401"/>
      <c r="P14" s="401"/>
      <c r="Q14" s="401"/>
      <c r="R14" s="401"/>
      <c r="S14" s="401"/>
      <c r="T14" s="402"/>
      <c r="U14" s="402"/>
      <c r="V14" s="402"/>
      <c r="W14" s="402"/>
      <c r="X14" s="401"/>
      <c r="Y14" s="401"/>
    </row>
    <row r="15" spans="1:29" s="114" customFormat="1">
      <c r="A15" s="90">
        <v>1</v>
      </c>
      <c r="B15" s="815" t="s">
        <v>174</v>
      </c>
      <c r="C15" s="412" t="s">
        <v>175</v>
      </c>
      <c r="D15" s="410">
        <f>SUM(D16:D20)</f>
        <v>57.337823740302639</v>
      </c>
      <c r="E15" s="410">
        <f t="shared" ref="E15:Y15" si="0">SUM(E16:E20)</f>
        <v>251.13506798252556</v>
      </c>
      <c r="F15" s="410">
        <f t="shared" si="0"/>
        <v>56.627758681387689</v>
      </c>
      <c r="G15" s="410">
        <f t="shared" si="0"/>
        <v>248.02498302447805</v>
      </c>
      <c r="H15" s="410">
        <f t="shared" si="0"/>
        <v>56.194043267023417</v>
      </c>
      <c r="I15" s="410">
        <f t="shared" si="0"/>
        <v>246.12530950956256</v>
      </c>
      <c r="J15" s="410">
        <f t="shared" si="0"/>
        <v>5.9303188097602888</v>
      </c>
      <c r="K15" s="410">
        <f t="shared" si="0"/>
        <v>25.974796386750068</v>
      </c>
      <c r="L15" s="410">
        <f t="shared" si="0"/>
        <v>78.019469101730522</v>
      </c>
      <c r="M15" s="410">
        <f t="shared" si="0"/>
        <v>341.72527466557966</v>
      </c>
      <c r="N15" s="410">
        <f t="shared" si="0"/>
        <v>6.752114147767033</v>
      </c>
      <c r="O15" s="410">
        <f t="shared" si="0"/>
        <v>29.574259967219604</v>
      </c>
      <c r="P15" s="410">
        <f t="shared" si="0"/>
        <v>82.936194631426275</v>
      </c>
      <c r="Q15" s="410">
        <f t="shared" si="0"/>
        <v>260.85279668622081</v>
      </c>
      <c r="R15" s="410">
        <f t="shared" si="0"/>
        <v>243.35781786470082</v>
      </c>
      <c r="S15" s="714">
        <f t="shared" si="0"/>
        <v>1065.9072422473894</v>
      </c>
      <c r="T15" s="413">
        <f t="shared" si="0"/>
        <v>3.3841449468165912E-3</v>
      </c>
      <c r="U15" s="413">
        <f t="shared" si="0"/>
        <v>1.4822286711666669E-2</v>
      </c>
      <c r="V15" s="410">
        <f t="shared" si="0"/>
        <v>4.4887866534060263</v>
      </c>
      <c r="W15" s="410">
        <f t="shared" si="0"/>
        <v>19.660825499203415</v>
      </c>
      <c r="X15" s="411">
        <f t="shared" si="0"/>
        <v>67784.824692761031</v>
      </c>
      <c r="Y15" s="411">
        <f t="shared" si="0"/>
        <v>296897.53215429327</v>
      </c>
      <c r="Z15" s="112"/>
      <c r="AA15" s="814" t="s">
        <v>785</v>
      </c>
      <c r="AB15" s="113"/>
      <c r="AC15" s="113"/>
    </row>
    <row r="16" spans="1:29" s="114" customFormat="1">
      <c r="A16" s="90"/>
      <c r="B16" s="815"/>
      <c r="C16" s="419" t="s">
        <v>176</v>
      </c>
      <c r="D16" s="420">
        <f>'1. Blast Furnace #1 (P001a)'!$C$29</f>
        <v>48.67</v>
      </c>
      <c r="E16" s="420">
        <f>'1. Blast Furnace #1 (P001a)'!$D$29</f>
        <v>213.17</v>
      </c>
      <c r="F16" s="420">
        <f>'1. Blast Furnace #1 (P001a)'!$C$30</f>
        <v>48.67</v>
      </c>
      <c r="G16" s="420">
        <f>'1. Blast Furnace #1 (P001a)'!$D$30</f>
        <v>213.17</v>
      </c>
      <c r="H16" s="420">
        <f>'1. Blast Furnace #1 (P001a)'!$C$31</f>
        <v>48.67</v>
      </c>
      <c r="I16" s="420">
        <f>'1. Blast Furnace #1 (P001a)'!$D$31</f>
        <v>213.17</v>
      </c>
      <c r="J16" s="420">
        <f>'1. Blast Furnace #1 (P001a)'!$C$32</f>
        <v>1.8373065662902548</v>
      </c>
      <c r="K16" s="420">
        <f>'1. Blast Furnace #1 (P001a)'!$D$32</f>
        <v>8.0474027603513161</v>
      </c>
      <c r="L16" s="423">
        <f>'1. Blast Furnace #1 (P001a)'!$C$33</f>
        <v>0.87536595566708486</v>
      </c>
      <c r="M16" s="423">
        <f>'1. Blast Furnace #1 (P001a)'!$D$33</f>
        <v>3.834102885821832</v>
      </c>
      <c r="N16" s="423">
        <f>'1. Blast Furnace #1 (P001a)'!$C$36</f>
        <v>3.3684827182190977</v>
      </c>
      <c r="O16" s="423">
        <f>'1. Blast Furnace #1 (P001a)'!$D$36</f>
        <v>14.753954305799649</v>
      </c>
      <c r="P16" s="420">
        <f>'1. Blast Furnace #1 (P001a)'!$C$35</f>
        <v>45.1</v>
      </c>
      <c r="Q16" s="420">
        <f>'1. Blast Furnace #1 (P001a)'!$D$35</f>
        <v>197.53800000000001</v>
      </c>
      <c r="R16" s="423">
        <f>'1. Blast Furnace #1 (P001a)'!$C$34</f>
        <v>177.63195315767459</v>
      </c>
      <c r="S16" s="715">
        <f>'1. Blast Furnace #1 (P001a)'!$D$34</f>
        <v>778.0279548306147</v>
      </c>
      <c r="T16" s="421">
        <f>'1. Blast Furnace #1 (P001a)'!$C$47</f>
        <v>2.8372006155000006E-3</v>
      </c>
      <c r="U16" s="421">
        <f>'1. Blast Furnace #1 (P001a)'!$D$47</f>
        <v>1.2426670540500001E-2</v>
      </c>
      <c r="V16" s="420">
        <f>SUM('1. Blast Furnace #1 (P001a)'!$C$41:$C$52)</f>
        <v>0.63527802998321803</v>
      </c>
      <c r="W16" s="420">
        <f>SUM('1. Blast Furnace #1 (P001a)'!$D$41:$D$52)</f>
        <v>2.7824577286115177</v>
      </c>
      <c r="X16" s="526" t="s">
        <v>21</v>
      </c>
      <c r="Y16" s="526" t="s">
        <v>21</v>
      </c>
      <c r="Z16" s="112"/>
      <c r="AA16" s="814"/>
      <c r="AB16" s="113"/>
      <c r="AC16" s="113"/>
    </row>
    <row r="17" spans="1:29" s="114" customFormat="1">
      <c r="A17" s="90"/>
      <c r="B17" s="815"/>
      <c r="C17" s="419" t="s">
        <v>575</v>
      </c>
      <c r="D17" s="420">
        <f>'1. Blast Furnace #1 (P001a)'!$C$62</f>
        <v>5.4076610857432765</v>
      </c>
      <c r="E17" s="420">
        <f>'1. Blast Furnace #1 (P001a)'!$D$62</f>
        <v>23.685555555555553</v>
      </c>
      <c r="F17" s="420">
        <f>'1. Blast Furnace #1 (P001a)'!$C$63</f>
        <v>5.4076610857432765</v>
      </c>
      <c r="G17" s="420">
        <f>'1. Blast Furnace #1 (P001a)'!$D$63</f>
        <v>23.685555555555553</v>
      </c>
      <c r="H17" s="420">
        <f>'1. Blast Furnace #1 (P001a)'!$C$64</f>
        <v>5.4076610857432765</v>
      </c>
      <c r="I17" s="420">
        <f>'1. Blast Furnace #1 (P001a)'!$D$64</f>
        <v>23.685555555555553</v>
      </c>
      <c r="J17" s="420">
        <f>'1. Blast Furnace #1 (P001a)'!$C$65</f>
        <v>0.20414517403225055</v>
      </c>
      <c r="K17" s="420">
        <f>'1. Blast Furnace #1 (P001a)'!$D$65</f>
        <v>0.89415586226125743</v>
      </c>
      <c r="L17" s="420">
        <f>'1. Blast Furnace #1 (P001a)'!$C$66</f>
        <v>9.7262883963009431E-2</v>
      </c>
      <c r="M17" s="420">
        <f>'1. Blast Furnace #1 (P001a)'!$D$66</f>
        <v>0.42601143175798128</v>
      </c>
      <c r="N17" s="423">
        <f>'1. Blast Furnace #1 (P001a)'!$C$69</f>
        <v>0.37427585757989973</v>
      </c>
      <c r="O17" s="423">
        <f>'1. Blast Furnace #1 (P001a)'!$D$69</f>
        <v>1.6393282561999609</v>
      </c>
      <c r="P17" s="420">
        <f>'1. Blast Furnace #1 (P001a)'!$C$68</f>
        <v>5.25</v>
      </c>
      <c r="Q17" s="420">
        <f>'1. Blast Furnace #1 (P001a)'!$D$68</f>
        <v>22.995000000000001</v>
      </c>
      <c r="R17" s="423">
        <f>'1. Blast Furnace #1 (P001a)'!$C$67</f>
        <v>19.736883684186068</v>
      </c>
      <c r="S17" s="715">
        <f>'1. Blast Furnace #1 (P001a)'!$D$67</f>
        <v>86.44755053673498</v>
      </c>
      <c r="T17" s="421">
        <f>'1. Blast Furnace #1 (P001a)'!$C$80</f>
        <v>3.1523771031202437E-4</v>
      </c>
      <c r="U17" s="421">
        <f>'1. Blast Furnace #1 (P001a)'!$D$80</f>
        <v>1.3807411711666668E-3</v>
      </c>
      <c r="V17" s="420">
        <f>SUM('1. Blast Furnace #1 (P001a)'!$C$74:$C$85)</f>
        <v>7.058492462231146E-2</v>
      </c>
      <c r="W17" s="420">
        <f>SUM('1. Blast Furnace #1 (P001a)'!$D$74:$D$85)</f>
        <v>0.30916196984572419</v>
      </c>
      <c r="X17" s="526" t="s">
        <v>21</v>
      </c>
      <c r="Y17" s="526" t="s">
        <v>21</v>
      </c>
      <c r="Z17" s="112"/>
      <c r="AA17" s="814"/>
      <c r="AB17" s="113"/>
      <c r="AC17" s="113"/>
    </row>
    <row r="18" spans="1:29" s="114" customFormat="1">
      <c r="A18" s="90"/>
      <c r="B18" s="815"/>
      <c r="C18" s="419" t="s">
        <v>252</v>
      </c>
      <c r="D18" s="420">
        <f>'1. Blast Furnace #1 (P001a)'!$C$95</f>
        <v>0.88048515981735143</v>
      </c>
      <c r="E18" s="420">
        <f>'1. Blast Furnace #1 (P001a)'!$D$95</f>
        <v>3.8565249999999991</v>
      </c>
      <c r="F18" s="420">
        <f>'1. Blast Furnace #1 (P001a)'!$C$96</f>
        <v>0.88048515981735143</v>
      </c>
      <c r="G18" s="420">
        <f>'1. Blast Furnace #1 (P001a)'!$D$96</f>
        <v>3.8565249999999991</v>
      </c>
      <c r="H18" s="420">
        <f>'1. Blast Furnace #1 (P001a)'!$C$97</f>
        <v>0.88048515981735143</v>
      </c>
      <c r="I18" s="420">
        <f>'1. Blast Furnace #1 (P001a)'!$D$97</f>
        <v>3.8565249999999991</v>
      </c>
      <c r="J18" s="420">
        <f>'1. Blast Furnace #1 (P001a)'!$C$98</f>
        <v>2.6414554794520546</v>
      </c>
      <c r="K18" s="420">
        <f>'1. Blast Furnace #1 (P001a)'!$D$98</f>
        <v>11.569574999999999</v>
      </c>
      <c r="L18" s="420">
        <f>'1. Blast Furnace #1 (P001a)'!$C$99</f>
        <v>46.341324200913235</v>
      </c>
      <c r="M18" s="420">
        <f>'1. Blast Furnace #1 (P001a)'!$D$99</f>
        <v>202.97499999999997</v>
      </c>
      <c r="N18" s="420">
        <f>'1. Blast Furnace #1 (P001a)'!$C$100</f>
        <v>2.5487728310502278</v>
      </c>
      <c r="O18" s="420">
        <f>'1. Blast Furnace #1 (P001a)'!$D$100</f>
        <v>11.163624999999998</v>
      </c>
      <c r="P18" s="420">
        <f>'1. Blast Furnace #1 (P001a)'!$C$101</f>
        <v>0.27804794520547943</v>
      </c>
      <c r="Q18" s="420">
        <f>'1. Blast Furnace #1 (P001a)'!$D$101</f>
        <v>1.2178499999999999</v>
      </c>
      <c r="R18" s="420">
        <f>'1. Blast Furnace #1 (P001a)'!$C$102</f>
        <v>38.926712328767117</v>
      </c>
      <c r="S18" s="424">
        <f>'1. Blast Furnace #1 (P001a)'!$D$102</f>
        <v>170.499</v>
      </c>
      <c r="T18" s="421">
        <f>'1. Blast Furnace #1 (P001a)'!$C$140</f>
        <v>2.3170662100456619E-4</v>
      </c>
      <c r="U18" s="421">
        <f>'1. Blast Furnace #1 (P001a)'!$D$140</f>
        <v>1.0148749999999999E-3</v>
      </c>
      <c r="V18" s="420">
        <f>SUM('1. Blast Furnace #1 (P001a)'!$C$106:$C$144)</f>
        <v>2.166540776130137</v>
      </c>
      <c r="W18" s="420">
        <f>SUM('1. Blast Furnace #1 (P001a)'!$D$106:$D$144)</f>
        <v>9.4894485994499984</v>
      </c>
      <c r="X18" s="422">
        <f>'1. Blast Furnace #1 (P001a)'!$C$150</f>
        <v>49970.807710015055</v>
      </c>
      <c r="Y18" s="422">
        <f>'1. Blast Furnace #1 (P001a)'!$D$150</f>
        <v>218872.13776986592</v>
      </c>
      <c r="Z18" s="112"/>
      <c r="AA18" s="814"/>
      <c r="AB18" s="113"/>
      <c r="AC18" s="113"/>
    </row>
    <row r="19" spans="1:29" s="114" customFormat="1">
      <c r="A19" s="90"/>
      <c r="B19" s="815"/>
      <c r="C19" s="419" t="s">
        <v>253</v>
      </c>
      <c r="D19" s="420">
        <f>'1. Blast Furnace #1 (P001a)'!$C$160</f>
        <v>2.2952739726027396</v>
      </c>
      <c r="E19" s="420">
        <f>'1. Blast Furnace #1 (P001a)'!$D$160</f>
        <v>10.0533</v>
      </c>
      <c r="F19" s="420">
        <f>'1. Blast Furnace #1 (P001a)'!$C$161</f>
        <v>1.6103938356164385</v>
      </c>
      <c r="G19" s="420">
        <f>'1. Blast Furnace #1 (P001a)'!$D$161</f>
        <v>7.0535249999999996</v>
      </c>
      <c r="H19" s="420">
        <f>'1. Blast Furnace #1 (P001a)'!$C$162</f>
        <v>1.1920616438356162</v>
      </c>
      <c r="I19" s="420">
        <f>'1. Blast Furnace #1 (P001a)'!$D$162</f>
        <v>5.2212299999999994</v>
      </c>
      <c r="J19" s="420">
        <f>'1. Blast Furnace #1 (P001a)'!$C$163</f>
        <v>1.2031678082191779</v>
      </c>
      <c r="K19" s="420">
        <f>'1. Blast Furnace #1 (P001a)'!$D$163</f>
        <v>5.2698749999999999</v>
      </c>
      <c r="L19" s="420">
        <f>'1. Blast Furnace #1 (P001a)'!$C$164</f>
        <v>29.616438356164384</v>
      </c>
      <c r="M19" s="420">
        <f>'1. Blast Furnace #1 (P001a)'!$D$164</f>
        <v>129.72</v>
      </c>
      <c r="N19" s="420">
        <f>'1. Blast Furnace #1 (P001a)'!$C$165</f>
        <v>0.44424657534246575</v>
      </c>
      <c r="O19" s="420">
        <f>'1. Blast Furnace #1 (P001a)'!$D$165</f>
        <v>1.9458</v>
      </c>
      <c r="P19" s="420">
        <f>'1. Blast Furnace #1 (P001a)'!$C$166</f>
        <v>30.298146686220786</v>
      </c>
      <c r="Q19" s="420">
        <f>'1. Blast Furnace #1 (P001a)'!$C$166</f>
        <v>30.298146686220786</v>
      </c>
      <c r="R19" s="420">
        <f>'1. Blast Furnace #1 (P001a)'!$C$167</f>
        <v>6.8117808219178073</v>
      </c>
      <c r="S19" s="424">
        <f>'1. Blast Furnace #1 (P001a)'!$D$167</f>
        <v>29.835599999999996</v>
      </c>
      <c r="T19" s="525" t="s">
        <v>21</v>
      </c>
      <c r="U19" s="525" t="s">
        <v>21</v>
      </c>
      <c r="V19" s="420">
        <f>SUM('1. Blast Furnace #1 (P001a)'!$C$171:$C$177)</f>
        <v>1.559097198630137</v>
      </c>
      <c r="W19" s="420">
        <f>SUM('1. Blast Furnace #1 (P001a)'!$D$171:$D$177)</f>
        <v>6.8288457299999994</v>
      </c>
      <c r="X19" s="422">
        <f>'1. Blast Furnace #1 (P001a)'!$C$183</f>
        <v>17182.181038541486</v>
      </c>
      <c r="Y19" s="422">
        <f>'1. Blast Furnace #1 (P001a)'!$D$183</f>
        <v>75257.952948811711</v>
      </c>
      <c r="Z19" s="112"/>
      <c r="AA19" s="814"/>
      <c r="AB19" s="113"/>
      <c r="AC19" s="113"/>
    </row>
    <row r="20" spans="1:29" s="114" customFormat="1">
      <c r="A20" s="90"/>
      <c r="B20" s="815"/>
      <c r="C20" s="419" t="s">
        <v>623</v>
      </c>
      <c r="D20" s="420">
        <f>'1. Blast Furnace #1 (P001a)'!$C$193</f>
        <v>8.4403522139267273E-2</v>
      </c>
      <c r="E20" s="420">
        <f>'1. Blast Furnace #1 (P001a)'!$D$193</f>
        <v>0.36968742696999063</v>
      </c>
      <c r="F20" s="420">
        <f>'1. Blast Furnace #1 (P001a)'!$C$194</f>
        <v>5.9218600210614931E-2</v>
      </c>
      <c r="G20" s="420">
        <f>'1. Blast Furnace #1 (P001a)'!$D$194</f>
        <v>0.25937746892249341</v>
      </c>
      <c r="H20" s="420">
        <f>'1. Blast Furnace #1 (P001a)'!$C$195</f>
        <v>4.383537762716784E-2</v>
      </c>
      <c r="I20" s="420">
        <f>'1. Blast Furnace #1 (P001a)'!$D$195</f>
        <v>0.19199895400699513</v>
      </c>
      <c r="J20" s="420">
        <f>'1. Blast Furnace #1 (P001a)'!$C$196</f>
        <v>4.4243781766551388E-2</v>
      </c>
      <c r="K20" s="420">
        <f>'1. Blast Furnace #1 (P001a)'!$D$196</f>
        <v>0.19378776413749507</v>
      </c>
      <c r="L20" s="420">
        <f>'1. Blast Furnace #1 (P001a)'!$C$197</f>
        <v>1.0890777050228033</v>
      </c>
      <c r="M20" s="420">
        <f>'1. Blast Furnace #1 (P001a)'!$D$197</f>
        <v>4.7701603479998784</v>
      </c>
      <c r="N20" s="420">
        <f>'1. Blast Furnace #1 (P001a)'!$C$198</f>
        <v>1.6336165575342048E-2</v>
      </c>
      <c r="O20" s="420">
        <f>'1. Blast Furnace #1 (P001a)'!$D$198</f>
        <v>7.1552405219998172E-2</v>
      </c>
      <c r="P20" s="420">
        <f>'1. Blast Furnace #1 (P001a)'!$C$199</f>
        <v>2.0099999999999998</v>
      </c>
      <c r="Q20" s="420">
        <f>'1. Blast Furnace #1 (P001a)'!$D$199</f>
        <v>8.803799999999999</v>
      </c>
      <c r="R20" s="420">
        <f>'1. Blast Furnace #1 (P001a)'!$C$200</f>
        <v>0.25048787215524471</v>
      </c>
      <c r="S20" s="424">
        <f>'1. Blast Furnace #1 (P001a)'!$D$200</f>
        <v>1.0971368800399719</v>
      </c>
      <c r="T20" s="525" t="s">
        <v>21</v>
      </c>
      <c r="U20" s="525" t="s">
        <v>21</v>
      </c>
      <c r="V20" s="420">
        <f>SUM('1. Blast Furnace #1 (P001a)'!$C$204:$C$210)</f>
        <v>5.728572404022228E-2</v>
      </c>
      <c r="W20" s="420">
        <f>SUM('1. Blast Furnace #1 (P001a)'!$D$204:$D$210)</f>
        <v>0.25091147129617358</v>
      </c>
      <c r="X20" s="422">
        <f>'1. Blast Furnace #1 (P001a)'!$C$216</f>
        <v>631.8359442044864</v>
      </c>
      <c r="Y20" s="422">
        <f>'1. Blast Furnace #1 (P001a)'!$D$216</f>
        <v>2767.4414356156503</v>
      </c>
      <c r="Z20" s="112"/>
      <c r="AA20" s="814"/>
      <c r="AB20" s="113"/>
      <c r="AC20" s="113"/>
    </row>
    <row r="21" spans="1:29" s="114" customFormat="1">
      <c r="A21" s="90">
        <v>2</v>
      </c>
      <c r="B21" s="546" t="s">
        <v>178</v>
      </c>
      <c r="C21" s="412" t="s">
        <v>179</v>
      </c>
      <c r="D21" s="410">
        <f>'2. BF #1 Stoves (P001b)'!$C$26</f>
        <v>24.75</v>
      </c>
      <c r="E21" s="410">
        <f>'2. BF #1 Stoves (P001b)'!$D$26</f>
        <v>108.41</v>
      </c>
      <c r="F21" s="410">
        <f>'2. BF #1 Stoves (P001b)'!$C$27</f>
        <v>24.75</v>
      </c>
      <c r="G21" s="410">
        <f>'2. BF #1 Stoves (P001b)'!$D$27</f>
        <v>108.41</v>
      </c>
      <c r="H21" s="410">
        <f>'2. BF #1 Stoves (P001b)'!$C$28</f>
        <v>24.75</v>
      </c>
      <c r="I21" s="410">
        <f>'2. BF #1 Stoves (P001b)'!$D$28</f>
        <v>108.41</v>
      </c>
      <c r="J21" s="410">
        <f>'2. BF #1 Stoves (P001b)'!$C$29</f>
        <v>3.2510499999999998</v>
      </c>
      <c r="K21" s="410">
        <f>'2. BF #1 Stoves (P001b)'!$D$29</f>
        <v>14.239598999999998</v>
      </c>
      <c r="L21" s="410">
        <f>'2. BF #1 Stoves (P001b)'!$C$30</f>
        <v>7.0586999999999991</v>
      </c>
      <c r="M21" s="410">
        <f>'2. BF #1 Stoves (P001b)'!$D$30</f>
        <v>30.917105999999997</v>
      </c>
      <c r="N21" s="410">
        <f>'2. BF #1 Stoves (P001b)'!$C$31</f>
        <v>3.2447249999999999</v>
      </c>
      <c r="O21" s="410">
        <f>'2. BF #1 Stoves (P001b)'!$D$31</f>
        <v>14.211895499999999</v>
      </c>
      <c r="P21" s="410">
        <f>'2. BF #1 Stoves (P001b)'!$C$32</f>
        <v>98.5</v>
      </c>
      <c r="Q21" s="410">
        <f>'2. BF #1 Stoves (P001b)'!$D$32</f>
        <v>431.43</v>
      </c>
      <c r="R21" s="714">
        <f>'2. BF #1 Stoves (P001b)'!$C$33</f>
        <v>650.65274999999997</v>
      </c>
      <c r="S21" s="714">
        <f>'2. BF #1 Stoves (P001b)'!$D$33</f>
        <v>2849.8590450000002</v>
      </c>
      <c r="T21" s="413">
        <f>'2. BF #1 Stoves (P001b)'!$C$47</f>
        <v>2.6876770538243627E-4</v>
      </c>
      <c r="U21" s="413">
        <f>'2. BF #1 Stoves (P001b)'!$D$47</f>
        <v>1.1772025495750708E-3</v>
      </c>
      <c r="V21" s="410">
        <f>SUM('2. BF #1 Stoves (P001b)'!C38:$C$48)</f>
        <v>7.1539193982844811</v>
      </c>
      <c r="W21" s="410">
        <f>SUM('2. BF #1 Stoves (P001b)'!D38:$D$48)</f>
        <v>31.334166964486023</v>
      </c>
      <c r="X21" s="411">
        <f>'2. BF #1 Stoves (P001b)'!$C$54</f>
        <v>299421.98101789056</v>
      </c>
      <c r="Y21" s="411">
        <f>'2. BF #1 Stoves (P001b)'!$D$54</f>
        <v>1311468.2768583607</v>
      </c>
      <c r="Z21" s="112"/>
      <c r="AA21" s="814"/>
      <c r="AB21" s="113"/>
      <c r="AC21" s="113"/>
    </row>
    <row r="22" spans="1:29" s="114" customFormat="1">
      <c r="A22" s="90">
        <v>3</v>
      </c>
      <c r="B22" s="408" t="s">
        <v>180</v>
      </c>
      <c r="C22" s="412" t="s">
        <v>283</v>
      </c>
      <c r="D22" s="410"/>
      <c r="E22" s="410"/>
      <c r="F22" s="410"/>
      <c r="G22" s="410"/>
      <c r="H22" s="410"/>
      <c r="I22" s="410"/>
      <c r="J22" s="418"/>
      <c r="K22" s="418"/>
      <c r="L22" s="410"/>
      <c r="M22" s="410"/>
      <c r="N22" s="410"/>
      <c r="O22" s="410"/>
      <c r="P22" s="410"/>
      <c r="Q22" s="410"/>
      <c r="R22" s="410"/>
      <c r="S22" s="714"/>
      <c r="T22" s="413"/>
      <c r="U22" s="413"/>
      <c r="V22" s="410"/>
      <c r="W22" s="410"/>
      <c r="X22" s="411"/>
      <c r="Y22" s="411"/>
      <c r="Z22" s="112"/>
      <c r="AA22" s="814"/>
      <c r="AB22" s="113"/>
      <c r="AC22" s="113"/>
    </row>
    <row r="23" spans="1:29" s="114" customFormat="1">
      <c r="A23" s="90">
        <v>4</v>
      </c>
      <c r="B23" s="815" t="s">
        <v>184</v>
      </c>
      <c r="C23" s="412" t="s">
        <v>185</v>
      </c>
      <c r="D23" s="410">
        <f>SUM(D24:D28)</f>
        <v>43.260162654559366</v>
      </c>
      <c r="E23" s="410">
        <f t="shared" ref="E23" si="1">SUM(E24:E28)</f>
        <v>189.27951242697</v>
      </c>
      <c r="F23" s="410">
        <f t="shared" ref="F23" si="2">SUM(F24:F28)</f>
        <v>42.550097595644402</v>
      </c>
      <c r="G23" s="410">
        <f t="shared" ref="G23" si="3">SUM(G24:G28)</f>
        <v>186.16942746892249</v>
      </c>
      <c r="H23" s="410">
        <f t="shared" ref="H23" si="4">SUM(H24:H28)</f>
        <v>42.116382181280137</v>
      </c>
      <c r="I23" s="410">
        <f t="shared" ref="I23" si="5">SUM(I24:I28)</f>
        <v>184.269753954007</v>
      </c>
      <c r="J23" s="410">
        <f t="shared" ref="J23" si="6">SUM(J24:J28)</f>
        <v>5.9303188097602888</v>
      </c>
      <c r="K23" s="410">
        <f t="shared" ref="K23" si="7">SUM(K24:K28)</f>
        <v>25.974796386750068</v>
      </c>
      <c r="L23" s="410">
        <f t="shared" ref="L23" si="8">SUM(L24:L28)</f>
        <v>78.019469101730522</v>
      </c>
      <c r="M23" s="410">
        <f t="shared" ref="M23" si="9">SUM(M24:M28)</f>
        <v>341.72527466557966</v>
      </c>
      <c r="N23" s="410">
        <f t="shared" ref="N23" si="10">SUM(N24:N28)</f>
        <v>6.752114147767033</v>
      </c>
      <c r="O23" s="410">
        <f t="shared" ref="O23" si="11">SUM(O24:O28)</f>
        <v>29.574259967219604</v>
      </c>
      <c r="P23" s="410">
        <f t="shared" ref="P23" si="12">SUM(P24:P28)</f>
        <v>82.616194631426268</v>
      </c>
      <c r="Q23" s="410">
        <f t="shared" ref="Q23" si="13">SUM(Q24:Q28)</f>
        <v>259.45119668622078</v>
      </c>
      <c r="R23" s="410">
        <f t="shared" ref="R23" si="14">SUM(R24:R28)</f>
        <v>243.35781786470082</v>
      </c>
      <c r="S23" s="714">
        <f t="shared" ref="S23" si="15">SUM(S24:S28)</f>
        <v>1065.9072422473894</v>
      </c>
      <c r="T23" s="413">
        <f t="shared" ref="T23" si="16">SUM(T24:T28)</f>
        <v>2.8222841925418574E-3</v>
      </c>
      <c r="U23" s="413">
        <f t="shared" ref="U23" si="17">SUM(U24:U28)</f>
        <v>1.2349945833333336E-2</v>
      </c>
      <c r="V23" s="410">
        <f t="shared" ref="V23" si="18">SUM(V24:V28)</f>
        <v>4.5552658144746649</v>
      </c>
      <c r="W23" s="410">
        <f t="shared" ref="W23" si="19">SUM(W24:W28)</f>
        <v>19.949453714573952</v>
      </c>
      <c r="X23" s="411">
        <f t="shared" ref="X23" si="20">SUM(X24:X28)</f>
        <v>67784.824692761031</v>
      </c>
      <c r="Y23" s="411">
        <f t="shared" ref="Y23" si="21">SUM(Y24:Y28)</f>
        <v>296897.53215429327</v>
      </c>
      <c r="Z23" s="112"/>
      <c r="AA23" s="814" t="s">
        <v>785</v>
      </c>
      <c r="AB23" s="113"/>
      <c r="AC23" s="113"/>
    </row>
    <row r="24" spans="1:29" s="114" customFormat="1">
      <c r="A24" s="90"/>
      <c r="B24" s="815"/>
      <c r="C24" s="419" t="s">
        <v>176</v>
      </c>
      <c r="D24" s="420">
        <f>'4. Blast Furnace #3 (P002a)'!$C$29</f>
        <v>40</v>
      </c>
      <c r="E24" s="420">
        <f>'4. Blast Furnace #3 (P002a)'!$D$29</f>
        <v>175</v>
      </c>
      <c r="F24" s="420">
        <f>'4. Blast Furnace #3 (P002a)'!$C$30</f>
        <v>40</v>
      </c>
      <c r="G24" s="420">
        <f>'4. Blast Furnace #3 (P002a)'!$D$30</f>
        <v>175</v>
      </c>
      <c r="H24" s="420">
        <f>'4. Blast Furnace #3 (P002a)'!$C$31</f>
        <v>40</v>
      </c>
      <c r="I24" s="420">
        <f>'4. Blast Furnace #3 (P002a)'!$D$31</f>
        <v>175</v>
      </c>
      <c r="J24" s="420">
        <f>'4. Blast Furnace #3 (P002a)'!$C$32</f>
        <v>1.8373065662902548</v>
      </c>
      <c r="K24" s="420">
        <f>'4. Blast Furnace #3 (P002a)'!$D$32</f>
        <v>8.0474027603513161</v>
      </c>
      <c r="L24" s="423">
        <f>'4. Blast Furnace #3 (P002a)'!$C$33</f>
        <v>0.87536595566708486</v>
      </c>
      <c r="M24" s="423">
        <f>'4. Blast Furnace #3 (P002a)'!$D$33</f>
        <v>3.834102885821832</v>
      </c>
      <c r="N24" s="423">
        <f>'4. Blast Furnace #3 (P002a)'!$C$36</f>
        <v>3.3684827182190977</v>
      </c>
      <c r="O24" s="423">
        <f>'4. Blast Furnace #3 (P002a)'!$D$36</f>
        <v>14.753954305799649</v>
      </c>
      <c r="P24" s="420">
        <f>'4. Blast Furnace #3 (P002a)'!$C$35</f>
        <v>45.1</v>
      </c>
      <c r="Q24" s="420">
        <f>'4. Blast Furnace #3 (P002a)'!$D$35</f>
        <v>197.53800000000001</v>
      </c>
      <c r="R24" s="423">
        <f>'4. Blast Furnace #3 (P002a)'!$C$34</f>
        <v>177.63195315767459</v>
      </c>
      <c r="S24" s="715">
        <f>'4. Blast Furnace #3 (P002a)'!$D$34</f>
        <v>778.0279548306147</v>
      </c>
      <c r="T24" s="421">
        <f>'4. Blast Furnace #3 (P002a)'!$C$47</f>
        <v>2.3317860000000006E-3</v>
      </c>
      <c r="U24" s="421">
        <f>'4. Blast Furnace #3 (P002a)'!$D$47</f>
        <v>1.0201563750000002E-2</v>
      </c>
      <c r="V24" s="420">
        <f>SUM('4. Blast Furnace #3 (P002a)'!$C$41:$C$52)</f>
        <v>0.52211056501600006</v>
      </c>
      <c r="W24" s="420">
        <f>SUM('4. Blast Furnace #3 (P002a)'!$D$41:$D$52)</f>
        <v>2.2842337219450002</v>
      </c>
      <c r="X24" s="526" t="s">
        <v>21</v>
      </c>
      <c r="Y24" s="526" t="s">
        <v>21</v>
      </c>
      <c r="Z24" s="112"/>
      <c r="AA24" s="814"/>
      <c r="AB24" s="113"/>
      <c r="AC24" s="113"/>
    </row>
    <row r="25" spans="1:29" s="114" customFormat="1">
      <c r="A25" s="90"/>
      <c r="B25" s="815"/>
      <c r="C25" s="419" t="s">
        <v>575</v>
      </c>
      <c r="D25" s="420"/>
      <c r="E25" s="420"/>
      <c r="F25" s="420"/>
      <c r="G25" s="420"/>
      <c r="H25" s="420"/>
      <c r="I25" s="420"/>
      <c r="J25" s="420">
        <f>'4. Blast Furnace #3 (P002a)'!$C$65</f>
        <v>0.20414517403225055</v>
      </c>
      <c r="K25" s="420">
        <f>'4. Blast Furnace #3 (P002a)'!$D$65</f>
        <v>0.89415586226125743</v>
      </c>
      <c r="L25" s="420">
        <f>'4. Blast Furnace #3 (P002a)'!$C$66</f>
        <v>9.7262883963009431E-2</v>
      </c>
      <c r="M25" s="420">
        <f>'4. Blast Furnace #3 (P002a)'!$D$66</f>
        <v>0.42601143175798128</v>
      </c>
      <c r="N25" s="423">
        <f>'4. Blast Furnace #3 (P002a)'!$C$69</f>
        <v>0.37427585757989973</v>
      </c>
      <c r="O25" s="423">
        <f>'4. Blast Furnace #3 (P002a)'!$D$69</f>
        <v>1.6393282561999609</v>
      </c>
      <c r="P25" s="420">
        <f>'4. Blast Furnace #3 (P002a)'!$C$68</f>
        <v>5.25</v>
      </c>
      <c r="Q25" s="420">
        <f>'4. Blast Furnace #3 (P002a)'!$D$68</f>
        <v>22.995000000000001</v>
      </c>
      <c r="R25" s="423">
        <f>'4. Blast Furnace #3 (P002a)'!$C$67</f>
        <v>19.736883684186068</v>
      </c>
      <c r="S25" s="715">
        <f>'4. Blast Furnace #3 (P002a)'!$D$67</f>
        <v>86.44755053673498</v>
      </c>
      <c r="T25" s="421">
        <f>'4. Blast Furnace #3 (P002a)'!$C$80</f>
        <v>2.5879157153729072E-4</v>
      </c>
      <c r="U25" s="421">
        <f>'4. Blast Furnace #3 (P002a)'!$D$80</f>
        <v>1.1335070833333335E-3</v>
      </c>
      <c r="V25" s="420">
        <f>SUM('4. Blast Furnace #3 (P002a)'!$C$74:$C$85)</f>
        <v>5.7946060932141039E-2</v>
      </c>
      <c r="W25" s="420">
        <f>SUM('4. Blast Furnace #3 (P002a)'!$D$74:$D$85)</f>
        <v>0.25380374688277774</v>
      </c>
      <c r="X25" s="526" t="s">
        <v>21</v>
      </c>
      <c r="Y25" s="526" t="s">
        <v>21</v>
      </c>
      <c r="Z25" s="112"/>
      <c r="AA25" s="814"/>
      <c r="AB25" s="113"/>
      <c r="AC25" s="113"/>
    </row>
    <row r="26" spans="1:29" s="114" customFormat="1">
      <c r="A26" s="90"/>
      <c r="B26" s="815"/>
      <c r="C26" s="419" t="s">
        <v>252</v>
      </c>
      <c r="D26" s="420">
        <f>'4. Blast Furnace #3 (P002a)'!$C$95</f>
        <v>0.88048515981735143</v>
      </c>
      <c r="E26" s="420">
        <f>'4. Blast Furnace #3 (P002a)'!$D$95</f>
        <v>3.8565249999999991</v>
      </c>
      <c r="F26" s="420">
        <f>'4. Blast Furnace #3 (P002a)'!$C$96</f>
        <v>0.88048515981735143</v>
      </c>
      <c r="G26" s="420">
        <f>'4. Blast Furnace #3 (P002a)'!$D$96</f>
        <v>3.8565249999999991</v>
      </c>
      <c r="H26" s="420">
        <f>'4. Blast Furnace #3 (P002a)'!$C$97</f>
        <v>0.88048515981735143</v>
      </c>
      <c r="I26" s="420">
        <f>'4. Blast Furnace #3 (P002a)'!$D$97</f>
        <v>3.8565249999999991</v>
      </c>
      <c r="J26" s="420">
        <f>'4. Blast Furnace #3 (P002a)'!$C$98</f>
        <v>2.6414554794520546</v>
      </c>
      <c r="K26" s="420">
        <f>'4. Blast Furnace #3 (P002a)'!$D$98</f>
        <v>11.569574999999999</v>
      </c>
      <c r="L26" s="420">
        <f>'4. Blast Furnace #3 (P002a)'!$C$99</f>
        <v>46.341324200913235</v>
      </c>
      <c r="M26" s="420">
        <f>'4. Blast Furnace #3 (P002a)'!$D$99</f>
        <v>202.97499999999997</v>
      </c>
      <c r="N26" s="420">
        <f>'4. Blast Furnace #3 (P002a)'!$C$100</f>
        <v>2.5487728310502278</v>
      </c>
      <c r="O26" s="420">
        <f>'4. Blast Furnace #3 (P002a)'!$D$100</f>
        <v>11.163624999999998</v>
      </c>
      <c r="P26" s="420">
        <f>'4. Blast Furnace #3 (P002a)'!$C$101</f>
        <v>0.27804794520547943</v>
      </c>
      <c r="Q26" s="420">
        <f>'4. Blast Furnace #3 (P002a)'!$D$101</f>
        <v>1.2178499999999999</v>
      </c>
      <c r="R26" s="420">
        <f>'4. Blast Furnace #3 (P002a)'!$C$102</f>
        <v>38.926712328767117</v>
      </c>
      <c r="S26" s="424">
        <f>'4. Blast Furnace #3 (P002a)'!$D$102</f>
        <v>170.499</v>
      </c>
      <c r="T26" s="421">
        <f>'4. Blast Furnace #3 (P002a)'!$C$140</f>
        <v>2.3170662100456619E-4</v>
      </c>
      <c r="U26" s="421">
        <f>'4. Blast Furnace #3 (P002a)'!$D$140</f>
        <v>1.0148749999999999E-3</v>
      </c>
      <c r="V26" s="420">
        <f>SUM('4. Blast Furnace #3 (P002a)'!$C$106:$C$144)</f>
        <v>2.3600923685958901</v>
      </c>
      <c r="W26" s="420">
        <f>SUM('4. Blast Furnace #3 (P002a)'!$D$106:$D$144)</f>
        <v>10.337204574449999</v>
      </c>
      <c r="X26" s="422">
        <f>'4. Blast Furnace #3 (P002a)'!$C$150</f>
        <v>49970.807710015055</v>
      </c>
      <c r="Y26" s="422">
        <f>'4. Blast Furnace #3 (P002a)'!$D$150</f>
        <v>218872.13776986592</v>
      </c>
      <c r="Z26" s="112"/>
      <c r="AA26" s="814"/>
      <c r="AB26" s="113"/>
      <c r="AC26" s="113"/>
    </row>
    <row r="27" spans="1:29" s="114" customFormat="1">
      <c r="A27" s="90"/>
      <c r="B27" s="815"/>
      <c r="C27" s="419" t="s">
        <v>253</v>
      </c>
      <c r="D27" s="420">
        <f>'4. Blast Furnace #3 (P002a)'!$C$160</f>
        <v>2.2952739726027396</v>
      </c>
      <c r="E27" s="420">
        <f>'4. Blast Furnace #3 (P002a)'!$D$160</f>
        <v>10.0533</v>
      </c>
      <c r="F27" s="420">
        <f>'4. Blast Furnace #3 (P002a)'!$C$161</f>
        <v>1.6103938356164385</v>
      </c>
      <c r="G27" s="420">
        <f>'4. Blast Furnace #3 (P002a)'!$D$161</f>
        <v>7.0535249999999996</v>
      </c>
      <c r="H27" s="420">
        <f>'4. Blast Furnace #3 (P002a)'!$C$162</f>
        <v>1.1920616438356162</v>
      </c>
      <c r="I27" s="420">
        <f>'4. Blast Furnace #3 (P002a)'!$D$162</f>
        <v>5.2212299999999994</v>
      </c>
      <c r="J27" s="420">
        <f>'4. Blast Furnace #3 (P002a)'!$C$163</f>
        <v>1.2031678082191779</v>
      </c>
      <c r="K27" s="420">
        <f>'4. Blast Furnace #3 (P002a)'!$D$163</f>
        <v>5.2698749999999999</v>
      </c>
      <c r="L27" s="420">
        <f>'4. Blast Furnace #3 (P002a)'!$C$164</f>
        <v>29.616438356164384</v>
      </c>
      <c r="M27" s="420">
        <f>'4. Blast Furnace #3 (P002a)'!$D$164</f>
        <v>129.72</v>
      </c>
      <c r="N27" s="420">
        <f>'4. Blast Furnace #3 (P002a)'!$C$165</f>
        <v>0.44424657534246575</v>
      </c>
      <c r="O27" s="420">
        <f>'4. Blast Furnace #3 (P002a)'!$D$165</f>
        <v>1.9458</v>
      </c>
      <c r="P27" s="420">
        <f>'4. Blast Furnace #3 (P002a)'!$C$166</f>
        <v>30.298146686220786</v>
      </c>
      <c r="Q27" s="420">
        <f>'4. Blast Furnace #3 (P002a)'!$C$166</f>
        <v>30.298146686220786</v>
      </c>
      <c r="R27" s="420">
        <f>'4. Blast Furnace #3 (P002a)'!$C$167</f>
        <v>6.8117808219178073</v>
      </c>
      <c r="S27" s="424">
        <f>'4. Blast Furnace #3 (P002a)'!$D$167</f>
        <v>29.835599999999996</v>
      </c>
      <c r="T27" s="525" t="s">
        <v>21</v>
      </c>
      <c r="U27" s="525" t="s">
        <v>21</v>
      </c>
      <c r="V27" s="420">
        <f>SUM('4. Blast Furnace #3 (P002a)'!$C$171:$C$177)</f>
        <v>1.5578310958904109</v>
      </c>
      <c r="W27" s="420">
        <f>SUM('4. Blast Furnace #3 (P002a)'!$D$171:$D$177)</f>
        <v>6.8233002000000003</v>
      </c>
      <c r="X27" s="422">
        <f>'4. Blast Furnace #3 (P002a)'!$C$183</f>
        <v>17182.181038541486</v>
      </c>
      <c r="Y27" s="422">
        <f>'4. Blast Furnace #3 (P002a)'!$D$183</f>
        <v>75257.952948811711</v>
      </c>
      <c r="Z27" s="112"/>
      <c r="AA27" s="814"/>
      <c r="AB27" s="113"/>
      <c r="AC27" s="113"/>
    </row>
    <row r="28" spans="1:29" s="114" customFormat="1">
      <c r="A28" s="90"/>
      <c r="B28" s="815"/>
      <c r="C28" s="419" t="s">
        <v>623</v>
      </c>
      <c r="D28" s="420">
        <f>'4. Blast Furnace #3 (P002a)'!$C$193</f>
        <v>8.4403522139267273E-2</v>
      </c>
      <c r="E28" s="420">
        <f>'4. Blast Furnace #3 (P002a)'!$D$193</f>
        <v>0.36968742696999063</v>
      </c>
      <c r="F28" s="420">
        <f>'4. Blast Furnace #3 (P002a)'!$C$194</f>
        <v>5.9218600210614931E-2</v>
      </c>
      <c r="G28" s="420">
        <f>'4. Blast Furnace #3 (P002a)'!$D$194</f>
        <v>0.25937746892249341</v>
      </c>
      <c r="H28" s="420">
        <f>'4. Blast Furnace #3 (P002a)'!$C$195</f>
        <v>4.383537762716784E-2</v>
      </c>
      <c r="I28" s="420">
        <f>'4. Blast Furnace #3 (P002a)'!$D$195</f>
        <v>0.19199895400699513</v>
      </c>
      <c r="J28" s="420">
        <f>'4. Blast Furnace #3 (P002a)'!$C$196</f>
        <v>4.4243781766551388E-2</v>
      </c>
      <c r="K28" s="420">
        <f>'4. Blast Furnace #3 (P002a)'!$D$196</f>
        <v>0.19378776413749507</v>
      </c>
      <c r="L28" s="420">
        <f>'4. Blast Furnace #3 (P002a)'!$C$197</f>
        <v>1.0890777050228033</v>
      </c>
      <c r="M28" s="420">
        <f>'4. Blast Furnace #3 (P002a)'!$D$197</f>
        <v>4.7701603479998784</v>
      </c>
      <c r="N28" s="420">
        <f>'4. Blast Furnace #3 (P002a)'!$C$198</f>
        <v>1.6336165575342048E-2</v>
      </c>
      <c r="O28" s="420">
        <f>'4. Blast Furnace #3 (P002a)'!$D$198</f>
        <v>7.1552405219998172E-2</v>
      </c>
      <c r="P28" s="420">
        <f>'4. Blast Furnace #3 (P002a)'!$C$199</f>
        <v>1.69</v>
      </c>
      <c r="Q28" s="420">
        <f>'4. Blast Furnace #3 (P002a)'!$D$199</f>
        <v>7.4021999999999997</v>
      </c>
      <c r="R28" s="420">
        <f>'4. Blast Furnace #3 (P002a)'!$C$200</f>
        <v>0.25048787215524471</v>
      </c>
      <c r="S28" s="424">
        <f>'4. Blast Furnace #3 (P002a)'!$D$200</f>
        <v>1.0971368800399719</v>
      </c>
      <c r="T28" s="525" t="s">
        <v>21</v>
      </c>
      <c r="U28" s="525" t="s">
        <v>21</v>
      </c>
      <c r="V28" s="420">
        <f>SUM('4. Blast Furnace #3 (P002a)'!$C$204:$C$210)</f>
        <v>5.728572404022228E-2</v>
      </c>
      <c r="W28" s="420">
        <f>SUM('4. Blast Furnace #3 (P002a)'!$D$204:$D$210)</f>
        <v>0.25091147129617358</v>
      </c>
      <c r="X28" s="422">
        <f>'4. Blast Furnace #3 (P002a)'!$C$216</f>
        <v>631.8359442044864</v>
      </c>
      <c r="Y28" s="422">
        <f>'4. Blast Furnace #3 (P002a)'!$D$216</f>
        <v>2767.4414356156503</v>
      </c>
      <c r="Z28" s="112"/>
      <c r="AA28" s="814"/>
      <c r="AB28" s="113"/>
      <c r="AC28" s="113"/>
    </row>
    <row r="29" spans="1:29" s="114" customFormat="1">
      <c r="A29" s="90">
        <v>5</v>
      </c>
      <c r="B29" s="546" t="s">
        <v>186</v>
      </c>
      <c r="C29" s="412" t="s">
        <v>187</v>
      </c>
      <c r="D29" s="410">
        <f>'5. BF #3 Stoves (P002b)'!$C$26</f>
        <v>24.75</v>
      </c>
      <c r="E29" s="410">
        <f>'5. BF #3 Stoves (P002b)'!$D$26</f>
        <v>108.41</v>
      </c>
      <c r="F29" s="410">
        <f>'5. BF #3 Stoves (P002b)'!$C$27</f>
        <v>24.75</v>
      </c>
      <c r="G29" s="410">
        <f>'5. BF #3 Stoves (P002b)'!$D$27</f>
        <v>108.41</v>
      </c>
      <c r="H29" s="410">
        <f>'5. BF #3 Stoves (P002b)'!$C$28</f>
        <v>24.75</v>
      </c>
      <c r="I29" s="410">
        <f>'5. BF #3 Stoves (P002b)'!$D$28</f>
        <v>108.41</v>
      </c>
      <c r="J29" s="410">
        <f>'5. BF #3 Stoves (P002b)'!$C$29</f>
        <v>3.2510499999999998</v>
      </c>
      <c r="K29" s="410">
        <f>'5. BF #3 Stoves (P002b)'!$D$29</f>
        <v>14.239598999999998</v>
      </c>
      <c r="L29" s="410">
        <f>'5. BF #3 Stoves (P002b)'!$C$30</f>
        <v>7.0586999999999991</v>
      </c>
      <c r="M29" s="410">
        <f>'5. BF #3 Stoves (P002b)'!$D$30</f>
        <v>30.917105999999997</v>
      </c>
      <c r="N29" s="410">
        <f>'5. BF #3 Stoves (P002b)'!$C$31</f>
        <v>3.2447249999999999</v>
      </c>
      <c r="O29" s="410">
        <f>'5. BF #3 Stoves (P002b)'!$D$31</f>
        <v>14.211895499999999</v>
      </c>
      <c r="P29" s="410">
        <f>'5. BF #3 Stoves (P002b)'!$C$32</f>
        <v>90</v>
      </c>
      <c r="Q29" s="410">
        <f>'5. BF #3 Stoves (P002b)'!$D$32</f>
        <v>394.2</v>
      </c>
      <c r="R29" s="714">
        <f>'5. BF #3 Stoves (P002b)'!$C$33</f>
        <v>650.65274999999997</v>
      </c>
      <c r="S29" s="714">
        <f>'5. BF #3 Stoves (P002b)'!$D$33</f>
        <v>2849.8590450000002</v>
      </c>
      <c r="T29" s="413">
        <f>'5. BF #3 Stoves (P002b)'!$C$47</f>
        <v>2.6876770538243627E-4</v>
      </c>
      <c r="U29" s="413">
        <f>'5. BF #3 Stoves (P002b)'!$D$47</f>
        <v>1.1772025495750708E-3</v>
      </c>
      <c r="V29" s="410">
        <f>SUM('5. BF #3 Stoves (P002b)'!C38:$C$48)</f>
        <v>7.1539193982844811</v>
      </c>
      <c r="W29" s="410">
        <f>SUM('5. BF #3 Stoves (P002b)'!D38:$D$48)</f>
        <v>31.334166964486023</v>
      </c>
      <c r="X29" s="411">
        <f>'5. BF #3 Stoves (P002b)'!$C$54</f>
        <v>299421.98101789056</v>
      </c>
      <c r="Y29" s="411">
        <f>'5. BF #3 Stoves (P002b)'!$D$54</f>
        <v>1311468.2768583607</v>
      </c>
      <c r="Z29" s="112"/>
      <c r="AA29" s="728" t="s">
        <v>785</v>
      </c>
      <c r="AB29" s="113"/>
      <c r="AC29" s="113"/>
    </row>
    <row r="30" spans="1:29" s="114" customFormat="1">
      <c r="A30" s="90"/>
      <c r="B30" s="815" t="s">
        <v>188</v>
      </c>
      <c r="C30" s="412" t="s">
        <v>428</v>
      </c>
      <c r="D30" s="410">
        <f>SUM(D31:D36)</f>
        <v>52.531435502283102</v>
      </c>
      <c r="E30" s="410">
        <f>SUM(E31:E36)</f>
        <v>217.67208749999998</v>
      </c>
      <c r="F30" s="410">
        <f t="shared" ref="F30:Y30" si="22">SUM(F31:F36)</f>
        <v>51.77592465753424</v>
      </c>
      <c r="G30" s="410">
        <f t="shared" si="22"/>
        <v>214.36294999999998</v>
      </c>
      <c r="H30" s="410">
        <f t="shared" si="22"/>
        <v>51.41539098173515</v>
      </c>
      <c r="I30" s="410">
        <f t="shared" si="22"/>
        <v>212.78381250000001</v>
      </c>
      <c r="J30" s="410">
        <f t="shared" si="22"/>
        <v>0.38070776255707761</v>
      </c>
      <c r="K30" s="410">
        <f t="shared" si="22"/>
        <v>1.6675</v>
      </c>
      <c r="L30" s="410">
        <f t="shared" si="22"/>
        <v>49.366831184528607</v>
      </c>
      <c r="M30" s="410">
        <f t="shared" si="22"/>
        <v>216.22672058823525</v>
      </c>
      <c r="N30" s="410">
        <f t="shared" si="22"/>
        <v>6.8549246920709894</v>
      </c>
      <c r="O30" s="410">
        <f t="shared" si="22"/>
        <v>30.024570151270936</v>
      </c>
      <c r="P30" s="410">
        <f t="shared" si="22"/>
        <v>13.779513594426424</v>
      </c>
      <c r="Q30" s="410">
        <f t="shared" si="22"/>
        <v>60.354269543587741</v>
      </c>
      <c r="R30" s="410">
        <f t="shared" si="22"/>
        <v>2579.4607177872936</v>
      </c>
      <c r="S30" s="714">
        <f t="shared" si="22"/>
        <v>11298.037943908344</v>
      </c>
      <c r="T30" s="410">
        <f t="shared" si="22"/>
        <v>0.25748822423908663</v>
      </c>
      <c r="U30" s="410">
        <f t="shared" si="22"/>
        <v>1.1278546644383332</v>
      </c>
      <c r="V30" s="410">
        <f t="shared" si="22"/>
        <v>1.5144677863489564</v>
      </c>
      <c r="W30" s="410">
        <f t="shared" si="22"/>
        <v>6.5735445247552216</v>
      </c>
      <c r="X30" s="411">
        <f t="shared" si="22"/>
        <v>1140260.3716247329</v>
      </c>
      <c r="Y30" s="411">
        <f t="shared" si="22"/>
        <v>4994340.4277163297</v>
      </c>
      <c r="Z30" s="112"/>
      <c r="AA30" s="814" t="s">
        <v>785</v>
      </c>
      <c r="AB30" s="113"/>
      <c r="AC30" s="113"/>
    </row>
    <row r="31" spans="1:29" s="426" customFormat="1">
      <c r="A31" s="90">
        <v>6</v>
      </c>
      <c r="B31" s="815"/>
      <c r="C31" s="419" t="s">
        <v>432</v>
      </c>
      <c r="D31" s="420">
        <f>'6. BOP Mixer BH (P003-1,2,3,4)'!C22</f>
        <v>7</v>
      </c>
      <c r="E31" s="420">
        <f>'6. BOP Mixer BH (P003-1,2,3,4)'!D22</f>
        <v>18.25</v>
      </c>
      <c r="F31" s="420">
        <f>'6. BOP Mixer BH (P003-1,2,3,4)'!C23</f>
        <v>7</v>
      </c>
      <c r="G31" s="420">
        <f>'6. BOP Mixer BH (P003-1,2,3,4)'!D23</f>
        <v>18.25</v>
      </c>
      <c r="H31" s="420">
        <f>'6. BOP Mixer BH (P003-1,2,3,4)'!C24</f>
        <v>7</v>
      </c>
      <c r="I31" s="420">
        <f>'6. BOP Mixer BH (P003-1,2,3,4)'!D24</f>
        <v>18.25</v>
      </c>
      <c r="J31" s="423" t="s">
        <v>21</v>
      </c>
      <c r="K31" s="423" t="s">
        <v>21</v>
      </c>
      <c r="L31" s="427" t="s">
        <v>21</v>
      </c>
      <c r="M31" s="427" t="s">
        <v>21</v>
      </c>
      <c r="N31" s="420">
        <f>'6. BOP Mixer BH (P003-1,2,3,4)'!C25</f>
        <v>0.46</v>
      </c>
      <c r="O31" s="420">
        <f>'6. BOP Mixer BH (P003-1,2,3,4)'!D25</f>
        <v>2.0148000000000001</v>
      </c>
      <c r="P31" s="427" t="s">
        <v>21</v>
      </c>
      <c r="Q31" s="427" t="s">
        <v>21</v>
      </c>
      <c r="R31" s="427" t="s">
        <v>21</v>
      </c>
      <c r="S31" s="716" t="s">
        <v>21</v>
      </c>
      <c r="T31" s="421">
        <f>'6. BOP Mixer BH (P003-1,2,3,4)'!C35</f>
        <v>1.5314950000000003E-4</v>
      </c>
      <c r="U31" s="421">
        <f>'6. BOP Mixer BH (P003-1,2,3,4)'!D35</f>
        <v>3.9928262500000009E-4</v>
      </c>
      <c r="V31" s="420">
        <f>SUM('6. BOP Mixer BH (P003-1,2,3,4)'!C29:C40)</f>
        <v>3.3849724010200005E-2</v>
      </c>
      <c r="W31" s="420">
        <f>SUM('6. BOP Mixer BH (P003-1,2,3,4)'!D29:D40)</f>
        <v>8.8251066169450026E-2</v>
      </c>
      <c r="X31" s="526" t="s">
        <v>21</v>
      </c>
      <c r="Y31" s="526" t="s">
        <v>21</v>
      </c>
      <c r="Z31" s="398"/>
      <c r="AA31" s="814"/>
      <c r="AB31" s="425"/>
      <c r="AC31" s="425"/>
    </row>
    <row r="32" spans="1:29" s="426" customFormat="1">
      <c r="A32" s="90">
        <v>7</v>
      </c>
      <c r="B32" s="815"/>
      <c r="C32" s="419" t="s">
        <v>433</v>
      </c>
      <c r="D32" s="420">
        <f>'7. BOP SEC BH (P003-5,6,8)'!C23</f>
        <v>24.9</v>
      </c>
      <c r="E32" s="420">
        <f>'7. BOP SEC BH (P003-5,6,8)'!D23</f>
        <v>109.1</v>
      </c>
      <c r="F32" s="420">
        <f>'7. BOP SEC BH (P003-5,6,8)'!C24</f>
        <v>24.9</v>
      </c>
      <c r="G32" s="420">
        <f>'7. BOP SEC BH (P003-5,6,8)'!D24</f>
        <v>109.1</v>
      </c>
      <c r="H32" s="420">
        <f>'7. BOP SEC BH (P003-5,6,8)'!C25</f>
        <v>24.9</v>
      </c>
      <c r="I32" s="420">
        <f>'7. BOP SEC BH (P003-5,6,8)'!D25</f>
        <v>109.1</v>
      </c>
      <c r="J32" s="423" t="s">
        <v>21</v>
      </c>
      <c r="K32" s="423" t="s">
        <v>21</v>
      </c>
      <c r="L32" s="423" t="s">
        <v>21</v>
      </c>
      <c r="M32" s="423" t="s">
        <v>21</v>
      </c>
      <c r="N32" s="420">
        <f>'7. BOP SEC BH (P003-5,6,8)'!C27</f>
        <v>2.3338527450096378</v>
      </c>
      <c r="O32" s="420">
        <f>'7. BOP SEC BH (P003-5,6,8)'!D27</f>
        <v>10.222275023142213</v>
      </c>
      <c r="P32" s="423">
        <f>'7. BOP SEC BH (P003-5,6,8)'!C26</f>
        <v>6.64</v>
      </c>
      <c r="Q32" s="423">
        <f>'7. BOP SEC BH (P003-5,6,8)'!D26</f>
        <v>29.083199999999998</v>
      </c>
      <c r="R32" s="423" t="s">
        <v>21</v>
      </c>
      <c r="S32" s="715" t="s">
        <v>21</v>
      </c>
      <c r="T32" s="421">
        <f>'7. BOP SEC BH (P003-5,6,8)'!C42</f>
        <v>0.2402035935999999</v>
      </c>
      <c r="U32" s="421">
        <f>'7. BOP SEC BH (P003-5,6,8)'!D42</f>
        <v>1.0524583157333329</v>
      </c>
      <c r="V32" s="420">
        <f>SUM('7. BOP SEC BH (P003-5,6,8)'!C36:C47)</f>
        <v>0.68893357561069002</v>
      </c>
      <c r="W32" s="420">
        <f>SUM('7. BOP SEC BH (P003-5,6,8)'!D36:D47)</f>
        <v>3.018580445748043</v>
      </c>
      <c r="X32" s="526" t="s">
        <v>21</v>
      </c>
      <c r="Y32" s="526" t="s">
        <v>21</v>
      </c>
      <c r="Z32" s="398"/>
      <c r="AA32" s="814"/>
      <c r="AB32" s="425"/>
      <c r="AC32" s="425"/>
    </row>
    <row r="33" spans="1:29" s="426" customFormat="1">
      <c r="A33" s="90">
        <v>8</v>
      </c>
      <c r="B33" s="815"/>
      <c r="C33" s="419" t="s">
        <v>434</v>
      </c>
      <c r="D33" s="420">
        <f>'8. BOP Scrubber (P003-7 &amp; 9)'!C22</f>
        <v>19.22</v>
      </c>
      <c r="E33" s="420">
        <f>'8. BOP Scrubber (P003-7 &amp; 9)'!D22</f>
        <v>84.140000000000015</v>
      </c>
      <c r="F33" s="420">
        <f>'8. BOP Scrubber (P003-7 &amp; 9)'!C23</f>
        <v>19.22</v>
      </c>
      <c r="G33" s="420">
        <f>'8. BOP Scrubber (P003-7 &amp; 9)'!D23</f>
        <v>84.140000000000015</v>
      </c>
      <c r="H33" s="420">
        <f>'8. BOP Scrubber (P003-7 &amp; 9)'!C24</f>
        <v>19.22</v>
      </c>
      <c r="I33" s="420">
        <f>'8. BOP Scrubber (P003-7 &amp; 9)'!D24</f>
        <v>84.140000000000015</v>
      </c>
      <c r="J33" s="423" t="s">
        <v>21</v>
      </c>
      <c r="K33" s="423" t="s">
        <v>21</v>
      </c>
      <c r="L33" s="420">
        <f>'8. BOP Scrubber (P003-7 &amp; 9)'!C25</f>
        <v>41.450735294117642</v>
      </c>
      <c r="M33" s="420">
        <f>'8. BOP Scrubber (P003-7 &amp; 9)'!D25</f>
        <v>181.55422058823527</v>
      </c>
      <c r="N33" s="420">
        <f>'8. BOP Scrubber (P003-7 &amp; 9)'!C26</f>
        <v>3.7979241160111235</v>
      </c>
      <c r="O33" s="420">
        <f>'8. BOP Scrubber (P003-7 &amp; 9)'!D26</f>
        <v>16.634907628128719</v>
      </c>
      <c r="P33" s="420">
        <f>'8. BOP Scrubber (P003-7 &amp; 9)'!C27</f>
        <v>2.7128029400079456</v>
      </c>
      <c r="Q33" s="420">
        <f>'8. BOP Scrubber (P003-7 &amp; 9)'!D27</f>
        <v>11.882076877234802</v>
      </c>
      <c r="R33" s="420">
        <f>'8. BOP Scrubber (P003-7 &amp; 9)'!C28</f>
        <v>2575.4378182439145</v>
      </c>
      <c r="S33" s="424">
        <f>'8. BOP Scrubber (P003-7 &amp; 9)'!D28</f>
        <v>11280.417643908346</v>
      </c>
      <c r="T33" s="421">
        <f>'8. BOP Scrubber (P003-7 &amp; 9)'!C38</f>
        <v>1.7113430339999999E-2</v>
      </c>
      <c r="U33" s="421">
        <f>'8. BOP Scrubber (P003-7 &amp; 9)'!D38</f>
        <v>7.4918003580000017E-2</v>
      </c>
      <c r="V33" s="420">
        <f>SUM('8. BOP Scrubber (P003-7 &amp; 9)'!C32:C43)</f>
        <v>0.38133142614016702</v>
      </c>
      <c r="W33" s="420">
        <f>SUM('8. BOP Scrubber (P003-7 &amp; 9)'!D32:D43)</f>
        <v>1.6693666074627294</v>
      </c>
      <c r="X33" s="422">
        <f>'8. BOP Scrubber (P003-7 &amp; 9)'!C49</f>
        <v>1133869.3431558644</v>
      </c>
      <c r="Y33" s="422">
        <f>'8. BOP Scrubber (P003-7 &amp; 9)'!D49</f>
        <v>4966347.7230226863</v>
      </c>
      <c r="Z33" s="398"/>
      <c r="AA33" s="814"/>
      <c r="AB33" s="425"/>
      <c r="AC33" s="425"/>
    </row>
    <row r="34" spans="1:29" s="426" customFormat="1">
      <c r="A34" s="90">
        <v>9</v>
      </c>
      <c r="B34" s="815"/>
      <c r="C34" s="419" t="s">
        <v>435</v>
      </c>
      <c r="D34" s="420">
        <f>'9. BOP Flux Handling (P003-10)'!C23</f>
        <v>1.0091324200913243</v>
      </c>
      <c r="E34" s="420">
        <f>'9. BOP Flux Handling (P003-10)'!D23</f>
        <v>4.42</v>
      </c>
      <c r="F34" s="420">
        <f>'9. BOP Flux Handling (P003-10)'!C24</f>
        <v>0.35319634703196345</v>
      </c>
      <c r="G34" s="420">
        <f>'9. BOP Flux Handling (P003-10)'!D24</f>
        <v>1.5469999999999999</v>
      </c>
      <c r="H34" s="420">
        <f>'9. BOP Flux Handling (P003-10)'!C25</f>
        <v>5.3484018264840186E-2</v>
      </c>
      <c r="I34" s="420">
        <f>'9. BOP Flux Handling (P003-10)'!D25</f>
        <v>0.23426000000000002</v>
      </c>
      <c r="J34" s="427" t="s">
        <v>21</v>
      </c>
      <c r="K34" s="427" t="s">
        <v>21</v>
      </c>
      <c r="L34" s="427" t="s">
        <v>21</v>
      </c>
      <c r="M34" s="427" t="s">
        <v>21</v>
      </c>
      <c r="N34" s="427" t="s">
        <v>21</v>
      </c>
      <c r="O34" s="427" t="s">
        <v>21</v>
      </c>
      <c r="P34" s="427" t="s">
        <v>21</v>
      </c>
      <c r="Q34" s="427" t="s">
        <v>21</v>
      </c>
      <c r="R34" s="427" t="s">
        <v>21</v>
      </c>
      <c r="S34" s="716" t="s">
        <v>21</v>
      </c>
      <c r="T34" s="427" t="s">
        <v>21</v>
      </c>
      <c r="U34" s="427" t="s">
        <v>21</v>
      </c>
      <c r="V34" s="427" t="s">
        <v>21</v>
      </c>
      <c r="W34" s="427" t="s">
        <v>21</v>
      </c>
      <c r="X34" s="427" t="s">
        <v>21</v>
      </c>
      <c r="Y34" s="427" t="s">
        <v>21</v>
      </c>
      <c r="Z34" s="398"/>
      <c r="AA34" s="814"/>
      <c r="AB34" s="425"/>
      <c r="AC34" s="425"/>
    </row>
    <row r="35" spans="1:29" s="426" customFormat="1">
      <c r="A35" s="90">
        <v>10</v>
      </c>
      <c r="B35" s="815"/>
      <c r="C35" s="419" t="s">
        <v>436</v>
      </c>
      <c r="D35" s="420">
        <f>'10. BOP Combustion (P003-11)'!C89</f>
        <v>0.3337100456621005</v>
      </c>
      <c r="E35" s="420">
        <f>'10. BOP Combustion (P003-11)'!D89</f>
        <v>1.4616500000000001</v>
      </c>
      <c r="F35" s="420">
        <f>'10. BOP Combustion (P003-11)'!C90</f>
        <v>0.2341352739726027</v>
      </c>
      <c r="G35" s="420">
        <f>'10. BOP Combustion (P003-11)'!D90</f>
        <v>1.0255124999999998</v>
      </c>
      <c r="H35" s="420">
        <f>'10. BOP Combustion (P003-11)'!C91</f>
        <v>0.17331392694063927</v>
      </c>
      <c r="I35" s="420">
        <f>'10. BOP Combustion (P003-11)'!D91</f>
        <v>0.75911499999999998</v>
      </c>
      <c r="J35" s="420">
        <f>'10. BOP Combustion (P003-11)'!C92</f>
        <v>0.17492865296803653</v>
      </c>
      <c r="K35" s="420">
        <f>'10. BOP Combustion (P003-11)'!D92</f>
        <v>0.76618750000000002</v>
      </c>
      <c r="L35" s="420">
        <f>'10. BOP Combustion (P003-11)'!C93</f>
        <v>4.3059360730593603</v>
      </c>
      <c r="M35" s="420">
        <f>'10. BOP Combustion (P003-11)'!D93</f>
        <v>18.86</v>
      </c>
      <c r="N35" s="420">
        <f>'10. BOP Combustion (P003-11)'!C94</f>
        <v>6.4589041095890407E-2</v>
      </c>
      <c r="O35" s="420">
        <f>'10. BOP Combustion (P003-11)'!D94</f>
        <v>0.28289999999999998</v>
      </c>
      <c r="P35" s="420">
        <f>'10. BOP Combustion (P003-11)'!C95</f>
        <v>4.4050496955143696</v>
      </c>
      <c r="Q35" s="420">
        <f>'10. BOP Combustion (P003-11)'!D95</f>
        <v>19.294117666352939</v>
      </c>
      <c r="R35" s="420">
        <f>'10. BOP Combustion (P003-11)'!C96</f>
        <v>0.99036529680365282</v>
      </c>
      <c r="S35" s="424">
        <f>'10. BOP Combustion (P003-11)'!D96</f>
        <v>4.3377999999999997</v>
      </c>
      <c r="T35" s="423" t="s">
        <v>21</v>
      </c>
      <c r="U35" s="423" t="s">
        <v>21</v>
      </c>
      <c r="V35" s="420">
        <f>SUM('10. BOP Combustion (P003-11)'!C100:C106)</f>
        <v>0.22649317351598175</v>
      </c>
      <c r="W35" s="420">
        <f>SUM('10. BOP Combustion (P003-11)'!D100:D106)</f>
        <v>0.99204009999999998</v>
      </c>
      <c r="X35" s="422">
        <f>'10. BOP Combustion (P003-11)'!C112</f>
        <v>2498.1185197879477</v>
      </c>
      <c r="Y35" s="422">
        <f>'10. BOP Combustion (P003-11)'!D112</f>
        <v>10941.75911667121</v>
      </c>
      <c r="Z35" s="398"/>
      <c r="AA35" s="814"/>
      <c r="AB35" s="425"/>
      <c r="AC35" s="425"/>
    </row>
    <row r="36" spans="1:29" s="426" customFormat="1">
      <c r="A36" s="90"/>
      <c r="B36" s="815"/>
      <c r="C36" s="419" t="s">
        <v>437</v>
      </c>
      <c r="D36" s="420">
        <f>'10. BOP Combustion (P003-11)'!C24</f>
        <v>6.8593036529680365E-2</v>
      </c>
      <c r="E36" s="420">
        <f>'10. BOP Combustion (P003-11)'!D24</f>
        <v>0.30043749999999997</v>
      </c>
      <c r="F36" s="420">
        <f>'10. BOP Combustion (P003-11)'!C25</f>
        <v>6.8593036529680365E-2</v>
      </c>
      <c r="G36" s="420">
        <f>'10. BOP Combustion (P003-11)'!D25</f>
        <v>0.30043749999999997</v>
      </c>
      <c r="H36" s="420">
        <f>'10. BOP Combustion (P003-11)'!C26</f>
        <v>6.8593036529680365E-2</v>
      </c>
      <c r="I36" s="420">
        <f>'10. BOP Combustion (P003-11)'!D26</f>
        <v>0.30043749999999997</v>
      </c>
      <c r="J36" s="420">
        <f>'10. BOP Combustion (P003-11)'!C27</f>
        <v>0.20577910958904108</v>
      </c>
      <c r="K36" s="420">
        <f>'10. BOP Combustion (P003-11)'!D27</f>
        <v>0.90131249999999996</v>
      </c>
      <c r="L36" s="420">
        <f>'10. BOP Combustion (P003-11)'!C28</f>
        <v>3.6101598173515979</v>
      </c>
      <c r="M36" s="420">
        <f>'10. BOP Combustion (P003-11)'!D28</f>
        <v>15.812499999999998</v>
      </c>
      <c r="N36" s="420">
        <f>'10. BOP Combustion (P003-11)'!C29</f>
        <v>0.19855878995433784</v>
      </c>
      <c r="O36" s="420">
        <f>'10. BOP Combustion (P003-11)'!D29</f>
        <v>0.86968749999999984</v>
      </c>
      <c r="P36" s="420">
        <f>'10. BOP Combustion (P003-11)'!C30</f>
        <v>2.1660958904109583E-2</v>
      </c>
      <c r="Q36" s="420">
        <f>'10. BOP Combustion (P003-11)'!D30</f>
        <v>9.4874999999999987E-2</v>
      </c>
      <c r="R36" s="420">
        <f>'10. BOP Combustion (P003-11)'!C31</f>
        <v>3.0325342465753424</v>
      </c>
      <c r="S36" s="424">
        <f>'10. BOP Combustion (P003-11)'!D31</f>
        <v>13.282500000000001</v>
      </c>
      <c r="T36" s="421">
        <f>'10. BOP Combustion (P003-11)'!C69</f>
        <v>1.8050799086757987E-5</v>
      </c>
      <c r="U36" s="421">
        <f>'10. BOP Combustion (P003-11)'!D69</f>
        <v>7.9062499999999991E-5</v>
      </c>
      <c r="V36" s="420">
        <f>SUM('10. BOP Combustion (P003-11)'!C35:C73)</f>
        <v>0.1838598870719178</v>
      </c>
      <c r="W36" s="420">
        <f>SUM('10. BOP Combustion (P003-11)'!D35:D73)</f>
        <v>0.80530630537499992</v>
      </c>
      <c r="X36" s="422">
        <f>'10. BOP Combustion (P003-11)'!C79</f>
        <v>3892.9099490804924</v>
      </c>
      <c r="Y36" s="422">
        <f>'10. BOP Combustion (P003-11)'!D79</f>
        <v>17050.945576972557</v>
      </c>
      <c r="Z36" s="398"/>
      <c r="AA36" s="814"/>
      <c r="AB36" s="425"/>
      <c r="AC36" s="425"/>
    </row>
    <row r="37" spans="1:29" s="114" customFormat="1">
      <c r="A37" s="90">
        <v>11</v>
      </c>
      <c r="B37" s="408" t="s">
        <v>192</v>
      </c>
      <c r="C37" s="412" t="s">
        <v>194</v>
      </c>
      <c r="D37" s="410">
        <f>'11. LMF (P004)'!C23</f>
        <v>5.12</v>
      </c>
      <c r="E37" s="410">
        <f>'11. LMF (P004)'!D23</f>
        <v>22.43</v>
      </c>
      <c r="F37" s="410">
        <f>'11. LMF (P004)'!C24</f>
        <v>5.12</v>
      </c>
      <c r="G37" s="410">
        <f>'11. LMF (P004)'!D24</f>
        <v>22.43</v>
      </c>
      <c r="H37" s="410">
        <f>'11. LMF (P004)'!C25</f>
        <v>5.12</v>
      </c>
      <c r="I37" s="410">
        <f>'11. LMF (P004)'!D25</f>
        <v>22.43</v>
      </c>
      <c r="J37" s="410">
        <f>'11. LMF (P004)'!C26</f>
        <v>0.25036458333333328</v>
      </c>
      <c r="K37" s="410">
        <f>'11. LMF (P004)'!D26</f>
        <v>1.0965968749999999</v>
      </c>
      <c r="L37" s="418" t="s">
        <v>21</v>
      </c>
      <c r="M37" s="418" t="s">
        <v>21</v>
      </c>
      <c r="N37" s="418" t="s">
        <v>21</v>
      </c>
      <c r="O37" s="418" t="s">
        <v>21</v>
      </c>
      <c r="P37" s="418" t="s">
        <v>21</v>
      </c>
      <c r="Q37" s="418" t="s">
        <v>21</v>
      </c>
      <c r="R37" s="418" t="s">
        <v>21</v>
      </c>
      <c r="S37" s="717" t="s">
        <v>21</v>
      </c>
      <c r="T37" s="413">
        <f>'11. LMF (P004)'!C36</f>
        <v>3.9904256000000008E-3</v>
      </c>
      <c r="U37" s="413">
        <f>'11. LMF (P004)'!D36</f>
        <v>1.7481493400000003E-2</v>
      </c>
      <c r="V37" s="410">
        <f>SUM('11. LMF (P004)'!C30:C41)</f>
        <v>0.18346734977113599</v>
      </c>
      <c r="W37" s="410">
        <f>SUM('11. LMF (P004)'!D30:D41)</f>
        <v>0.80374465925128524</v>
      </c>
      <c r="X37" s="418" t="s">
        <v>21</v>
      </c>
      <c r="Y37" s="717" t="s">
        <v>21</v>
      </c>
      <c r="Z37" s="112"/>
      <c r="AA37" s="728" t="s">
        <v>785</v>
      </c>
      <c r="AB37" s="113"/>
      <c r="AC37" s="113"/>
    </row>
    <row r="38" spans="1:29" s="114" customFormat="1">
      <c r="A38" s="90">
        <v>12</v>
      </c>
      <c r="B38" s="547" t="s">
        <v>195</v>
      </c>
      <c r="C38" s="409" t="s">
        <v>196</v>
      </c>
      <c r="D38" s="410">
        <f>'12. Caster (P005)'!C24</f>
        <v>0.22831050228310501</v>
      </c>
      <c r="E38" s="410">
        <f>'12. Caster (P005)'!D24</f>
        <v>1</v>
      </c>
      <c r="F38" s="410">
        <f>'12. Caster (P005)'!C25</f>
        <v>0.22831050228310501</v>
      </c>
      <c r="G38" s="410">
        <f>'12. Caster (P005)'!D25</f>
        <v>1</v>
      </c>
      <c r="H38" s="410">
        <f>'12. Caster (P005)'!C26</f>
        <v>0.22831050228310501</v>
      </c>
      <c r="I38" s="410">
        <f>'12. Caster (P005)'!D26</f>
        <v>1</v>
      </c>
      <c r="J38" s="410">
        <f>'12. Caster (P005)'!C27</f>
        <v>0.19679965753424655</v>
      </c>
      <c r="K38" s="410">
        <f>'12. Caster (P005)'!D27</f>
        <v>0.86198249999999998</v>
      </c>
      <c r="L38" s="410">
        <f>'12. Caster (P005)'!C28</f>
        <v>2.7397260273972601</v>
      </c>
      <c r="M38" s="410">
        <f>'12. Caster (P005)'!D28</f>
        <v>12</v>
      </c>
      <c r="N38" s="410">
        <f>'12. Caster (P005)'!C29</f>
        <v>0.22831050228310501</v>
      </c>
      <c r="O38" s="410">
        <f>'12. Caster (P005)'!D29</f>
        <v>1</v>
      </c>
      <c r="P38" s="410">
        <f>'12. Caster (P005)'!C30</f>
        <v>2.8256782193177545</v>
      </c>
      <c r="Q38" s="410">
        <f>'12. Caster (P005)'!D30</f>
        <v>12.376470600611764</v>
      </c>
      <c r="R38" s="410">
        <f>'12. Caster (P005)'!C31</f>
        <v>0.68493150684931503</v>
      </c>
      <c r="S38" s="410">
        <f>'12. Caster (P005)'!D31</f>
        <v>3</v>
      </c>
      <c r="T38" s="413">
        <f>'12. Caster (P005)'!C44</f>
        <v>1.7263127853881278E-5</v>
      </c>
      <c r="U38" s="413">
        <f>'12. Caster (P005)'!D44</f>
        <v>7.5612500000000002E-5</v>
      </c>
      <c r="V38" s="410">
        <f>SUM('12. Caster (P005)'!C35:C45)</f>
        <v>0.17265751849315067</v>
      </c>
      <c r="W38" s="410">
        <f>SUM('12. Caster (P005)'!D35:D45)</f>
        <v>0.75623993099999998</v>
      </c>
      <c r="X38" s="411">
        <f>'12. Caster (P005)'!C51</f>
        <v>3723.3508358529648</v>
      </c>
      <c r="Y38" s="411">
        <f>'12. Caster (P005)'!D51</f>
        <v>16308.276661035987</v>
      </c>
      <c r="Z38" s="112"/>
      <c r="AA38" s="728" t="s">
        <v>785</v>
      </c>
      <c r="AB38" s="113"/>
      <c r="AC38" s="113"/>
    </row>
    <row r="39" spans="1:29" s="114" customFormat="1">
      <c r="A39" s="90">
        <v>13</v>
      </c>
      <c r="B39" s="414" t="s">
        <v>198</v>
      </c>
      <c r="C39" s="409" t="s">
        <v>199</v>
      </c>
      <c r="D39" s="415">
        <f>'13. Vacuum Degasser (P006)'!C23</f>
        <v>0.13984018264840184</v>
      </c>
      <c r="E39" s="415">
        <f>'13. Vacuum Degasser (P006)'!D23</f>
        <v>0.61250000000000004</v>
      </c>
      <c r="F39" s="415">
        <f>'13. Vacuum Degasser (P006)'!C24</f>
        <v>0.13984018264840184</v>
      </c>
      <c r="G39" s="415">
        <f>'13. Vacuum Degasser (P006)'!D24</f>
        <v>0.61250000000000004</v>
      </c>
      <c r="H39" s="415">
        <f>'13. Vacuum Degasser (P006)'!C25</f>
        <v>0.13984018264840184</v>
      </c>
      <c r="I39" s="415">
        <f>'13. Vacuum Degasser (P006)'!D25</f>
        <v>0.61250000000000004</v>
      </c>
      <c r="J39" s="417" t="s">
        <v>21</v>
      </c>
      <c r="K39" s="417" t="s">
        <v>21</v>
      </c>
      <c r="L39" s="417" t="s">
        <v>21</v>
      </c>
      <c r="M39" s="417" t="s">
        <v>21</v>
      </c>
      <c r="N39" s="417" t="s">
        <v>21</v>
      </c>
      <c r="O39" s="417" t="s">
        <v>21</v>
      </c>
      <c r="P39" s="417" t="s">
        <v>21</v>
      </c>
      <c r="Q39" s="417" t="s">
        <v>21</v>
      </c>
      <c r="R39" s="415">
        <f>'13. Vacuum Degasser (P006)'!C26</f>
        <v>0.98526854420014531</v>
      </c>
      <c r="S39" s="416">
        <f>'13. Vacuum Degasser (P006)'!D26</f>
        <v>4.3154762235966366</v>
      </c>
      <c r="T39" s="413">
        <f>'13. Vacuum Degasser (P006)'!C36</f>
        <v>1.3214897260273973E-4</v>
      </c>
      <c r="U39" s="413">
        <f>'13. Vacuum Degasser (P006)'!D36</f>
        <v>5.7881250000000001E-4</v>
      </c>
      <c r="V39" s="410">
        <f>SUM('13. Vacuum Degasser (P006)'!C30:C41)</f>
        <v>1.9831678824200915E-3</v>
      </c>
      <c r="W39" s="410">
        <f>SUM('13. Vacuum Degasser (P006)'!D30:D41)</f>
        <v>8.6862753250000011E-3</v>
      </c>
      <c r="X39" s="719">
        <f>'13. Vacuum Degasser (P006)'!C47</f>
        <v>1289.193302891784</v>
      </c>
      <c r="Y39" s="719">
        <f>'13. Vacuum Degasser (P006)'!D47</f>
        <v>5646.666666666013</v>
      </c>
      <c r="Z39" s="112"/>
      <c r="AA39" s="728" t="s">
        <v>785</v>
      </c>
      <c r="AB39" s="113"/>
      <c r="AC39" s="113"/>
    </row>
    <row r="40" spans="1:29" s="114" customFormat="1">
      <c r="A40" s="90">
        <v>14</v>
      </c>
      <c r="B40" s="546" t="s">
        <v>430</v>
      </c>
      <c r="C40" s="412" t="s">
        <v>429</v>
      </c>
      <c r="D40" s="714">
        <f>'14. Boilers 1-3 (B001-003)'!C26</f>
        <v>78.75</v>
      </c>
      <c r="E40" s="714">
        <f>'14. Boilers 1-3 (B001-003)'!D26</f>
        <v>344.94</v>
      </c>
      <c r="F40" s="714">
        <f>'14. Boilers 1-3 (B001-003)'!C27</f>
        <v>78.75</v>
      </c>
      <c r="G40" s="714">
        <f>'14. Boilers 1-3 (B001-003)'!D27</f>
        <v>344.94</v>
      </c>
      <c r="H40" s="714">
        <f>'14. Boilers 1-3 (B001-003)'!C28</f>
        <v>78.75</v>
      </c>
      <c r="I40" s="714">
        <f>'14. Boilers 1-3 (B001-003)'!D28</f>
        <v>344.94</v>
      </c>
      <c r="J40" s="714">
        <f>'14. Boilers 1-3 (B001-003)'!C29</f>
        <v>9.9142940151074956</v>
      </c>
      <c r="K40" s="714">
        <f>'14. Boilers 1-3 (B001-003)'!D29</f>
        <v>43.424607786170832</v>
      </c>
      <c r="L40" s="714">
        <f>'14. Boilers 1-3 (B001-003)'!C30</f>
        <v>110.25</v>
      </c>
      <c r="M40" s="714">
        <f>'14. Boilers 1-3 (B001-003)'!D30</f>
        <v>344.92499999999995</v>
      </c>
      <c r="N40" s="714">
        <f>'14. Boilers 1-3 (B001-003)'!C31</f>
        <v>0.42262499999999997</v>
      </c>
      <c r="O40" s="714">
        <f>'14. Boilers 1-3 (B001-003)'!D31</f>
        <v>1.8510974999999998</v>
      </c>
      <c r="P40" s="714">
        <f>'14. Boilers 1-3 (B001-003)'!C32</f>
        <v>556.91</v>
      </c>
      <c r="Q40" s="714">
        <f>'14. Boilers 1-3 (B001-003)'!D32</f>
        <v>2439.2657999999997</v>
      </c>
      <c r="R40" s="410">
        <f>'14. Boilers 1-3 (B001-003)'!C33</f>
        <v>1.0867499999999999</v>
      </c>
      <c r="S40" s="410">
        <f>'14. Boilers 1-3 (B001-003)'!D33</f>
        <v>4.7599649999999993</v>
      </c>
      <c r="T40" s="413">
        <f>'14. Boilers 1-3 (B001-003)'!C48</f>
        <v>6.7045325779036826E-4</v>
      </c>
      <c r="U40" s="413">
        <f>'14. Boilers 1-3 (B001-003)'!D48</f>
        <v>2.9365852691218132E-3</v>
      </c>
      <c r="V40" s="410">
        <f>SUM('14. Boilers 1-3 (B001-003)'!C40:C49)</f>
        <v>7.0045057633110748</v>
      </c>
      <c r="W40" s="410">
        <f>SUM('14. Boilers 1-3 (B001-003)'!D40:D49)</f>
        <v>30.679735243302503</v>
      </c>
      <c r="X40" s="411">
        <f>'14. Boilers 1-3 (B001-003)'!C55</f>
        <v>746921.74173917458</v>
      </c>
      <c r="Y40" s="411">
        <f>'14. Boilers 1-3 (B001-003)'!D55</f>
        <v>3271517.2288175845</v>
      </c>
      <c r="Z40" s="112"/>
      <c r="AA40" s="728" t="s">
        <v>786</v>
      </c>
      <c r="AB40" s="113"/>
      <c r="AC40" s="113"/>
    </row>
    <row r="41" spans="1:29" s="114" customFormat="1">
      <c r="A41" s="90">
        <v>15</v>
      </c>
      <c r="B41" s="408" t="s">
        <v>207</v>
      </c>
      <c r="C41" s="412" t="s">
        <v>208</v>
      </c>
      <c r="D41" s="410">
        <f>'15. BF Slag Pits (F001)'!C29</f>
        <v>6.2660489642947362E-2</v>
      </c>
      <c r="E41" s="410">
        <f>'15. BF Slag Pits (F001)'!D29</f>
        <v>0.27445294463610947</v>
      </c>
      <c r="F41" s="410">
        <f>'15. BF Slag Pits (F001)'!C30</f>
        <v>2.9636718074366991E-2</v>
      </c>
      <c r="G41" s="410">
        <f>'15. BF Slag Pits (F001)'!D30</f>
        <v>0.12980882516572742</v>
      </c>
      <c r="H41" s="410">
        <f>'15. BF Slag Pits (F001)'!C31</f>
        <v>4.487845879832717E-3</v>
      </c>
      <c r="I41" s="410">
        <f>'15. BF Slag Pits (F001)'!D31</f>
        <v>1.9656764953667298E-2</v>
      </c>
      <c r="J41" s="410" t="s">
        <v>21</v>
      </c>
      <c r="K41" s="410" t="s">
        <v>21</v>
      </c>
      <c r="L41" s="410" t="s">
        <v>21</v>
      </c>
      <c r="M41" s="410" t="s">
        <v>21</v>
      </c>
      <c r="N41" s="410" t="s">
        <v>21</v>
      </c>
      <c r="O41" s="410" t="s">
        <v>21</v>
      </c>
      <c r="P41" s="410" t="s">
        <v>21</v>
      </c>
      <c r="Q41" s="410" t="s">
        <v>21</v>
      </c>
      <c r="R41" s="410" t="s">
        <v>21</v>
      </c>
      <c r="S41" s="714" t="s">
        <v>21</v>
      </c>
      <c r="T41" s="413">
        <f>'15. BF Slag Pits (F001)'!C41</f>
        <v>6.7888573862355644E-7</v>
      </c>
      <c r="U41" s="413">
        <f>'15. BF Slag Pits (F001)'!D41</f>
        <v>2.9735195351711775E-6</v>
      </c>
      <c r="V41" s="410">
        <f>SUM('15. BF Slag Pits (F001)'!C35:C45)</f>
        <v>1.6922431638632243E-4</v>
      </c>
      <c r="W41" s="410">
        <f>SUM('15. BF Slag Pits (F001)'!D35:D45)</f>
        <v>7.4120250577209233E-4</v>
      </c>
      <c r="X41" s="410" t="s">
        <v>21</v>
      </c>
      <c r="Y41" s="410" t="s">
        <v>21</v>
      </c>
      <c r="Z41" s="112"/>
      <c r="AA41" s="728"/>
      <c r="AB41" s="113"/>
      <c r="AC41" s="113"/>
    </row>
    <row r="42" spans="1:29" s="114" customFormat="1">
      <c r="A42" s="90">
        <v>16</v>
      </c>
      <c r="B42" s="815" t="s">
        <v>210</v>
      </c>
      <c r="C42" s="412" t="s">
        <v>211</v>
      </c>
      <c r="D42" s="410">
        <f>SUM(D43:D44)</f>
        <v>16.911768522883978</v>
      </c>
      <c r="E42" s="410">
        <f t="shared" ref="E42:I42" si="23">SUM(E43:E44)</f>
        <v>74.073546130231819</v>
      </c>
      <c r="F42" s="410">
        <f t="shared" si="23"/>
        <v>4.5001259197435166</v>
      </c>
      <c r="G42" s="410">
        <f t="shared" si="23"/>
        <v>19.710551528476604</v>
      </c>
      <c r="H42" s="410">
        <f t="shared" si="23"/>
        <v>0.45301867628651793</v>
      </c>
      <c r="I42" s="410">
        <f t="shared" si="23"/>
        <v>1.9842218021349487</v>
      </c>
      <c r="J42" s="418" t="s">
        <v>21</v>
      </c>
      <c r="K42" s="410" t="s">
        <v>21</v>
      </c>
      <c r="L42" s="410" t="s">
        <v>21</v>
      </c>
      <c r="M42" s="410" t="s">
        <v>21</v>
      </c>
      <c r="N42" s="410" t="s">
        <v>21</v>
      </c>
      <c r="O42" s="410" t="s">
        <v>21</v>
      </c>
      <c r="P42" s="410" t="s">
        <v>21</v>
      </c>
      <c r="Q42" s="410" t="s">
        <v>21</v>
      </c>
      <c r="R42" s="410" t="s">
        <v>21</v>
      </c>
      <c r="S42" s="714" t="s">
        <v>21</v>
      </c>
      <c r="T42" s="727" t="s">
        <v>21</v>
      </c>
      <c r="U42" s="727" t="s">
        <v>21</v>
      </c>
      <c r="V42" s="418" t="s">
        <v>21</v>
      </c>
      <c r="W42" s="418" t="s">
        <v>21</v>
      </c>
      <c r="X42" s="418" t="s">
        <v>21</v>
      </c>
      <c r="Y42" s="418" t="s">
        <v>21</v>
      </c>
      <c r="Z42" s="112"/>
      <c r="AA42" s="728" t="s">
        <v>372</v>
      </c>
      <c r="AB42" s="113"/>
      <c r="AC42" s="113"/>
    </row>
    <row r="43" spans="1:29" s="400" customFormat="1">
      <c r="A43" s="90"/>
      <c r="B43" s="815"/>
      <c r="C43" s="419" t="s">
        <v>360</v>
      </c>
      <c r="D43" s="423">
        <f>E43*2000/8760</f>
        <v>0.10191767985106809</v>
      </c>
      <c r="E43" s="424">
        <f>'16. Plant Roads (F002)'!K38</f>
        <v>0.44639943774767826</v>
      </c>
      <c r="F43" s="423">
        <f>G43*2000/8760</f>
        <v>2.0383535970213622E-2</v>
      </c>
      <c r="G43" s="424">
        <f>'16. Plant Roads (F002)'!K61</f>
        <v>8.9279887549535669E-2</v>
      </c>
      <c r="H43" s="423">
        <f>I43*2000/8760</f>
        <v>5.0444379091876494E-3</v>
      </c>
      <c r="I43" s="424">
        <f>'16. Plant Roads (F002)'!K84</f>
        <v>2.2094638042241904E-2</v>
      </c>
      <c r="J43" s="423" t="s">
        <v>21</v>
      </c>
      <c r="K43" s="423" t="s">
        <v>21</v>
      </c>
      <c r="L43" s="423" t="s">
        <v>21</v>
      </c>
      <c r="M43" s="423" t="s">
        <v>21</v>
      </c>
      <c r="N43" s="423" t="s">
        <v>21</v>
      </c>
      <c r="O43" s="423" t="s">
        <v>21</v>
      </c>
      <c r="P43" s="423" t="s">
        <v>21</v>
      </c>
      <c r="Q43" s="423" t="s">
        <v>21</v>
      </c>
      <c r="R43" s="423" t="s">
        <v>21</v>
      </c>
      <c r="S43" s="715" t="s">
        <v>21</v>
      </c>
      <c r="T43" s="715" t="s">
        <v>21</v>
      </c>
      <c r="U43" s="715" t="s">
        <v>21</v>
      </c>
      <c r="V43" s="715" t="s">
        <v>21</v>
      </c>
      <c r="W43" s="715" t="s">
        <v>21</v>
      </c>
      <c r="X43" s="423" t="s">
        <v>21</v>
      </c>
      <c r="Y43" s="423" t="s">
        <v>21</v>
      </c>
      <c r="Z43" s="398"/>
      <c r="AA43" s="730"/>
      <c r="AB43" s="399"/>
      <c r="AC43" s="399"/>
    </row>
    <row r="44" spans="1:29" s="400" customFormat="1">
      <c r="A44" s="90"/>
      <c r="B44" s="815"/>
      <c r="C44" s="419" t="s">
        <v>391</v>
      </c>
      <c r="D44" s="423">
        <f>E44*2000/8760</f>
        <v>16.809850843032912</v>
      </c>
      <c r="E44" s="424">
        <f>'16. Plant Roads (F002)'!M101</f>
        <v>73.627146692484146</v>
      </c>
      <c r="F44" s="423">
        <f>G44*2000/8760</f>
        <v>4.4797423837733028</v>
      </c>
      <c r="G44" s="424">
        <f>'16. Plant Roads (F002)'!M118</f>
        <v>19.621271640927066</v>
      </c>
      <c r="H44" s="423">
        <f>I44*2000/8760</f>
        <v>0.4479742383773303</v>
      </c>
      <c r="I44" s="424">
        <f>'16. Plant Roads (F002)'!M135</f>
        <v>1.9621271640927067</v>
      </c>
      <c r="J44" s="423" t="s">
        <v>21</v>
      </c>
      <c r="K44" s="423" t="s">
        <v>21</v>
      </c>
      <c r="L44" s="423" t="s">
        <v>21</v>
      </c>
      <c r="M44" s="423" t="s">
        <v>21</v>
      </c>
      <c r="N44" s="423" t="s">
        <v>21</v>
      </c>
      <c r="O44" s="423" t="s">
        <v>21</v>
      </c>
      <c r="P44" s="423" t="s">
        <v>21</v>
      </c>
      <c r="Q44" s="423" t="s">
        <v>21</v>
      </c>
      <c r="R44" s="423" t="s">
        <v>21</v>
      </c>
      <c r="S44" s="715" t="s">
        <v>21</v>
      </c>
      <c r="T44" s="715" t="s">
        <v>21</v>
      </c>
      <c r="U44" s="715" t="s">
        <v>21</v>
      </c>
      <c r="V44" s="715" t="s">
        <v>21</v>
      </c>
      <c r="W44" s="715" t="s">
        <v>21</v>
      </c>
      <c r="X44" s="423" t="s">
        <v>21</v>
      </c>
      <c r="Y44" s="423" t="s">
        <v>21</v>
      </c>
      <c r="Z44" s="398"/>
      <c r="AA44" s="730"/>
      <c r="AB44" s="399"/>
      <c r="AC44" s="399"/>
    </row>
    <row r="45" spans="1:29" s="114" customFormat="1">
      <c r="A45" s="90">
        <v>17</v>
      </c>
      <c r="B45" s="121" t="s">
        <v>21</v>
      </c>
      <c r="C45" s="412" t="s">
        <v>477</v>
      </c>
      <c r="D45" s="410">
        <f>'17. Cooling Towers'!H28</f>
        <v>10.309220784000001</v>
      </c>
      <c r="E45" s="410">
        <f>'17. Cooling Towers'!I28</f>
        <v>45.154387033920003</v>
      </c>
      <c r="F45" s="410">
        <f>'17. Cooling Towers'!J28</f>
        <v>8.2210146736501724</v>
      </c>
      <c r="G45" s="410">
        <f>'17. Cooling Towers'!K28</f>
        <v>36.00804427058776</v>
      </c>
      <c r="H45" s="410">
        <f>'17. Cooling Towers'!L28</f>
        <v>2.5073102821699663E-2</v>
      </c>
      <c r="I45" s="410">
        <f>'17. Cooling Towers'!M28</f>
        <v>0.10982019035904453</v>
      </c>
      <c r="J45" s="410" t="s">
        <v>21</v>
      </c>
      <c r="K45" s="410" t="s">
        <v>21</v>
      </c>
      <c r="L45" s="410" t="s">
        <v>21</v>
      </c>
      <c r="M45" s="410" t="s">
        <v>21</v>
      </c>
      <c r="N45" s="410" t="s">
        <v>21</v>
      </c>
      <c r="O45" s="410" t="s">
        <v>21</v>
      </c>
      <c r="P45" s="410" t="s">
        <v>21</v>
      </c>
      <c r="Q45" s="410" t="s">
        <v>21</v>
      </c>
      <c r="R45" s="410" t="s">
        <v>21</v>
      </c>
      <c r="S45" s="714" t="s">
        <v>21</v>
      </c>
      <c r="T45" s="413" t="s">
        <v>21</v>
      </c>
      <c r="U45" s="413" t="s">
        <v>21</v>
      </c>
      <c r="V45" s="410" t="s">
        <v>21</v>
      </c>
      <c r="W45" s="410" t="s">
        <v>21</v>
      </c>
      <c r="X45" s="410" t="s">
        <v>21</v>
      </c>
      <c r="Y45" s="410" t="s">
        <v>21</v>
      </c>
      <c r="Z45" s="112"/>
      <c r="AA45" s="728" t="s">
        <v>788</v>
      </c>
      <c r="AB45" s="113"/>
      <c r="AC45" s="113"/>
    </row>
    <row r="46" spans="1:29" s="114" customFormat="1">
      <c r="A46" s="90">
        <v>18</v>
      </c>
      <c r="B46" s="813" t="s">
        <v>21</v>
      </c>
      <c r="C46" s="412" t="s">
        <v>624</v>
      </c>
      <c r="D46" s="410">
        <f>SUM(D47:D48)</f>
        <v>2.5185265555923206</v>
      </c>
      <c r="E46" s="410">
        <f t="shared" ref="E46:I46" si="24">SUM(E47:E48)</f>
        <v>11.031146313494364</v>
      </c>
      <c r="F46" s="410">
        <f t="shared" si="24"/>
        <v>1.1911949925098815</v>
      </c>
      <c r="G46" s="410">
        <f t="shared" si="24"/>
        <v>5.2174340671932802</v>
      </c>
      <c r="H46" s="410">
        <f t="shared" si="24"/>
        <v>0.18038095600863924</v>
      </c>
      <c r="I46" s="410">
        <f t="shared" si="24"/>
        <v>0.79006858731783991</v>
      </c>
      <c r="J46" s="410" t="s">
        <v>21</v>
      </c>
      <c r="K46" s="410" t="s">
        <v>21</v>
      </c>
      <c r="L46" s="410" t="s">
        <v>21</v>
      </c>
      <c r="M46" s="410" t="s">
        <v>21</v>
      </c>
      <c r="N46" s="410" t="s">
        <v>21</v>
      </c>
      <c r="O46" s="410" t="s">
        <v>21</v>
      </c>
      <c r="P46" s="410" t="s">
        <v>21</v>
      </c>
      <c r="Q46" s="410" t="s">
        <v>21</v>
      </c>
      <c r="R46" s="410" t="s">
        <v>21</v>
      </c>
      <c r="S46" s="714" t="s">
        <v>21</v>
      </c>
      <c r="T46" s="413" t="s">
        <v>21</v>
      </c>
      <c r="U46" s="413" t="s">
        <v>21</v>
      </c>
      <c r="V46" s="410" t="s">
        <v>21</v>
      </c>
      <c r="W46" s="410" t="s">
        <v>21</v>
      </c>
      <c r="X46" s="410" t="s">
        <v>21</v>
      </c>
      <c r="Y46" s="410" t="s">
        <v>21</v>
      </c>
      <c r="Z46" s="112"/>
      <c r="AA46" s="814" t="s">
        <v>788</v>
      </c>
      <c r="AB46" s="113"/>
      <c r="AC46" s="113"/>
    </row>
    <row r="47" spans="1:29" s="114" customFormat="1">
      <c r="A47" s="90"/>
      <c r="B47" s="813"/>
      <c r="C47" s="419" t="s">
        <v>585</v>
      </c>
      <c r="D47" s="420">
        <f>E47*2000/8760</f>
        <v>2.5180775194324294</v>
      </c>
      <c r="E47" s="420">
        <f>'18. BF Misc. Fugitives'!J33</f>
        <v>11.029179535114041</v>
      </c>
      <c r="F47" s="420">
        <f>G47*2000/8760</f>
        <v>1.1909826105423653</v>
      </c>
      <c r="G47" s="420">
        <f>'18. BF Misc. Fugitives'!K33</f>
        <v>5.2165038341755601</v>
      </c>
      <c r="H47" s="420">
        <f>I47*2000/8760</f>
        <v>0.18034879531070108</v>
      </c>
      <c r="I47" s="420">
        <f>'18. BF Misc. Fugitives'!L33</f>
        <v>0.78992772346087081</v>
      </c>
      <c r="J47" s="522" t="s">
        <v>21</v>
      </c>
      <c r="K47" s="522" t="s">
        <v>21</v>
      </c>
      <c r="L47" s="522" t="s">
        <v>21</v>
      </c>
      <c r="M47" s="522" t="s">
        <v>21</v>
      </c>
      <c r="N47" s="522" t="s">
        <v>21</v>
      </c>
      <c r="O47" s="522" t="s">
        <v>21</v>
      </c>
      <c r="P47" s="522" t="s">
        <v>21</v>
      </c>
      <c r="Q47" s="522" t="s">
        <v>21</v>
      </c>
      <c r="R47" s="522" t="s">
        <v>21</v>
      </c>
      <c r="S47" s="718" t="s">
        <v>21</v>
      </c>
      <c r="T47" s="523" t="s">
        <v>21</v>
      </c>
      <c r="U47" s="523" t="s">
        <v>21</v>
      </c>
      <c r="V47" s="522" t="s">
        <v>21</v>
      </c>
      <c r="W47" s="522" t="s">
        <v>21</v>
      </c>
      <c r="X47" s="522" t="s">
        <v>21</v>
      </c>
      <c r="Y47" s="522" t="s">
        <v>21</v>
      </c>
      <c r="Z47" s="112"/>
      <c r="AA47" s="814"/>
      <c r="AB47" s="113"/>
      <c r="AC47" s="113"/>
    </row>
    <row r="48" spans="1:29" s="114" customFormat="1">
      <c r="A48" s="90"/>
      <c r="B48" s="813"/>
      <c r="C48" s="419" t="s">
        <v>625</v>
      </c>
      <c r="D48" s="420">
        <f>E48*2000/8760</f>
        <v>4.49036159891101E-4</v>
      </c>
      <c r="E48" s="420">
        <f>'18. BF Misc. Fugitives'!J42</f>
        <v>1.9667783803230224E-3</v>
      </c>
      <c r="F48" s="420">
        <f>G48*2000/8760</f>
        <v>2.1238196751606128E-4</v>
      </c>
      <c r="G48" s="420">
        <f>'18. BF Misc. Fugitives'!K42</f>
        <v>9.3023301772034834E-4</v>
      </c>
      <c r="H48" s="420">
        <f>I48*2000/8760</f>
        <v>3.2160697938146422E-5</v>
      </c>
      <c r="I48" s="420">
        <f>'18. BF Misc. Fugitives'!L42</f>
        <v>1.4086385696908133E-4</v>
      </c>
      <c r="J48" s="522" t="s">
        <v>21</v>
      </c>
      <c r="K48" s="522" t="s">
        <v>21</v>
      </c>
      <c r="L48" s="522" t="s">
        <v>21</v>
      </c>
      <c r="M48" s="522" t="s">
        <v>21</v>
      </c>
      <c r="N48" s="522" t="s">
        <v>21</v>
      </c>
      <c r="O48" s="522" t="s">
        <v>21</v>
      </c>
      <c r="P48" s="522" t="s">
        <v>21</v>
      </c>
      <c r="Q48" s="522" t="s">
        <v>21</v>
      </c>
      <c r="R48" s="522" t="s">
        <v>21</v>
      </c>
      <c r="S48" s="718" t="s">
        <v>21</v>
      </c>
      <c r="T48" s="523" t="s">
        <v>21</v>
      </c>
      <c r="U48" s="523" t="s">
        <v>21</v>
      </c>
      <c r="V48" s="522" t="s">
        <v>21</v>
      </c>
      <c r="W48" s="522" t="s">
        <v>21</v>
      </c>
      <c r="X48" s="522" t="s">
        <v>21</v>
      </c>
      <c r="Y48" s="522" t="s">
        <v>21</v>
      </c>
      <c r="Z48" s="112"/>
      <c r="AA48" s="814"/>
      <c r="AB48" s="113"/>
      <c r="AC48" s="113"/>
    </row>
    <row r="49" spans="1:29" s="114" customFormat="1">
      <c r="A49" s="90">
        <v>19</v>
      </c>
      <c r="B49" s="813" t="s">
        <v>21</v>
      </c>
      <c r="C49" s="412" t="s">
        <v>573</v>
      </c>
      <c r="D49" s="410">
        <f>SUM(D50:D53)</f>
        <v>4.4080159425416872</v>
      </c>
      <c r="E49" s="410">
        <f t="shared" ref="E49:W49" si="25">SUM(E50:E53)</f>
        <v>19.307109828332592</v>
      </c>
      <c r="F49" s="410">
        <f t="shared" si="25"/>
        <v>1.9850465720093924</v>
      </c>
      <c r="G49" s="410">
        <f t="shared" si="25"/>
        <v>8.6945039854011394</v>
      </c>
      <c r="H49" s="410">
        <f t="shared" si="25"/>
        <v>1.4028686513407485</v>
      </c>
      <c r="I49" s="410">
        <f t="shared" si="25"/>
        <v>6.1445646928724784</v>
      </c>
      <c r="J49" s="410" t="s">
        <v>21</v>
      </c>
      <c r="K49" s="410" t="s">
        <v>21</v>
      </c>
      <c r="L49" s="410" t="s">
        <v>21</v>
      </c>
      <c r="M49" s="410" t="s">
        <v>21</v>
      </c>
      <c r="N49" s="410">
        <f t="shared" si="25"/>
        <v>7.2807845510410516</v>
      </c>
      <c r="O49" s="410">
        <f t="shared" si="25"/>
        <v>31.889836333559806</v>
      </c>
      <c r="P49" s="410" t="s">
        <v>21</v>
      </c>
      <c r="Q49" s="410" t="s">
        <v>21</v>
      </c>
      <c r="R49" s="410" t="s">
        <v>21</v>
      </c>
      <c r="S49" s="714" t="s">
        <v>21</v>
      </c>
      <c r="T49" s="410" t="s">
        <v>21</v>
      </c>
      <c r="U49" s="410" t="s">
        <v>21</v>
      </c>
      <c r="V49" s="410">
        <f t="shared" si="25"/>
        <v>7.2807845510410516</v>
      </c>
      <c r="W49" s="410">
        <f t="shared" si="25"/>
        <v>31.889836333559806</v>
      </c>
      <c r="X49" s="410" t="s">
        <v>21</v>
      </c>
      <c r="Y49" s="410" t="s">
        <v>21</v>
      </c>
      <c r="Z49" s="112"/>
      <c r="AA49" s="814" t="s">
        <v>788</v>
      </c>
      <c r="AB49" s="113"/>
      <c r="AC49" s="113"/>
    </row>
    <row r="50" spans="1:29" s="114" customFormat="1">
      <c r="A50" s="90"/>
      <c r="B50" s="813"/>
      <c r="C50" s="419" t="s">
        <v>453</v>
      </c>
      <c r="D50" s="420">
        <f>'19. BOP Misc. Fugitives'!C29</f>
        <v>0.75187182866089508</v>
      </c>
      <c r="E50" s="420">
        <f>'19. BOP Misc. Fugitives'!D29</f>
        <v>3.2931986095347208</v>
      </c>
      <c r="F50" s="420">
        <f>'19. BOP Misc. Fugitives'!C30</f>
        <v>0.35561505409636929</v>
      </c>
      <c r="G50" s="420">
        <f>'19. BOP Misc. Fugitives'!D30</f>
        <v>1.5575939369420975</v>
      </c>
      <c r="H50" s="420">
        <f>'19. BOP Misc. Fugitives'!C31</f>
        <v>5.3850279620307362E-2</v>
      </c>
      <c r="I50" s="420">
        <f>'19. BOP Misc. Fugitives'!D31</f>
        <v>0.23586422473694627</v>
      </c>
      <c r="J50" s="522" t="s">
        <v>21</v>
      </c>
      <c r="K50" s="522" t="s">
        <v>21</v>
      </c>
      <c r="L50" s="522" t="s">
        <v>21</v>
      </c>
      <c r="M50" s="522" t="s">
        <v>21</v>
      </c>
      <c r="N50" s="522" t="s">
        <v>21</v>
      </c>
      <c r="O50" s="522" t="s">
        <v>21</v>
      </c>
      <c r="P50" s="522" t="s">
        <v>21</v>
      </c>
      <c r="Q50" s="522" t="s">
        <v>21</v>
      </c>
      <c r="R50" s="522" t="s">
        <v>21</v>
      </c>
      <c r="S50" s="718" t="s">
        <v>21</v>
      </c>
      <c r="T50" s="523" t="s">
        <v>21</v>
      </c>
      <c r="U50" s="523" t="s">
        <v>21</v>
      </c>
      <c r="V50" s="522" t="s">
        <v>21</v>
      </c>
      <c r="W50" s="522" t="s">
        <v>21</v>
      </c>
      <c r="X50" s="522" t="s">
        <v>21</v>
      </c>
      <c r="Y50" s="522" t="s">
        <v>21</v>
      </c>
      <c r="Z50" s="112"/>
      <c r="AA50" s="814"/>
      <c r="AB50" s="113"/>
      <c r="AC50" s="113"/>
    </row>
    <row r="51" spans="1:29" s="114" customFormat="1">
      <c r="A51" s="90"/>
      <c r="B51" s="813"/>
      <c r="C51" s="419" t="s">
        <v>460</v>
      </c>
      <c r="D51" s="420">
        <f>'19. BOP Misc. Fugitives'!C43</f>
        <v>1.4477447214125781E-2</v>
      </c>
      <c r="E51" s="420">
        <f>'19. BOP Misc. Fugitives'!D43</f>
        <v>6.3411218797870914E-2</v>
      </c>
      <c r="F51" s="420">
        <f>'19. BOP Misc. Fugitives'!C44</f>
        <v>6.5148512463566012E-3</v>
      </c>
      <c r="G51" s="420">
        <f>'19. BOP Misc. Fugitives'!D44</f>
        <v>2.8535048459041912E-2</v>
      </c>
      <c r="H51" s="420">
        <f>'19. BOP Misc. Fugitives'!C45</f>
        <v>3.1850383871076717E-3</v>
      </c>
      <c r="I51" s="420">
        <f>'19. BOP Misc. Fugitives'!D45</f>
        <v>1.3950468135531602E-2</v>
      </c>
      <c r="J51" s="522" t="s">
        <v>21</v>
      </c>
      <c r="K51" s="522" t="s">
        <v>21</v>
      </c>
      <c r="L51" s="522" t="s">
        <v>21</v>
      </c>
      <c r="M51" s="522" t="s">
        <v>21</v>
      </c>
      <c r="N51" s="522" t="s">
        <v>21</v>
      </c>
      <c r="O51" s="522" t="s">
        <v>21</v>
      </c>
      <c r="P51" s="522" t="s">
        <v>21</v>
      </c>
      <c r="Q51" s="522" t="s">
        <v>21</v>
      </c>
      <c r="R51" s="522" t="s">
        <v>21</v>
      </c>
      <c r="S51" s="718" t="s">
        <v>21</v>
      </c>
      <c r="T51" s="523" t="s">
        <v>21</v>
      </c>
      <c r="U51" s="523" t="s">
        <v>21</v>
      </c>
      <c r="V51" s="522" t="s">
        <v>21</v>
      </c>
      <c r="W51" s="522" t="s">
        <v>21</v>
      </c>
      <c r="X51" s="522" t="s">
        <v>21</v>
      </c>
      <c r="Y51" s="522" t="s">
        <v>21</v>
      </c>
      <c r="Z51" s="112"/>
      <c r="AA51" s="814"/>
      <c r="AB51" s="113"/>
      <c r="AC51" s="113"/>
    </row>
    <row r="52" spans="1:29" s="114" customFormat="1">
      <c r="A52" s="90"/>
      <c r="B52" s="813"/>
      <c r="C52" s="419" t="s">
        <v>465</v>
      </c>
      <c r="D52" s="420">
        <f>'19. BOP Misc. Fugitives'!C57</f>
        <v>3.6416666666666666</v>
      </c>
      <c r="E52" s="420">
        <f>'19. BOP Misc. Fugitives'!D57</f>
        <v>15.9505</v>
      </c>
      <c r="F52" s="420">
        <f>'19. BOP Misc. Fugitives'!C58</f>
        <v>1.6229166666666666</v>
      </c>
      <c r="G52" s="420">
        <f>'19. BOP Misc. Fugitives'!D58</f>
        <v>7.1083749999999997</v>
      </c>
      <c r="H52" s="420">
        <f>'19. BOP Misc. Fugitives'!C59</f>
        <v>1.3458333333333334</v>
      </c>
      <c r="I52" s="420">
        <f>'19. BOP Misc. Fugitives'!D59</f>
        <v>5.8947500000000002</v>
      </c>
      <c r="J52" s="522" t="s">
        <v>21</v>
      </c>
      <c r="K52" s="522" t="s">
        <v>21</v>
      </c>
      <c r="L52" s="522" t="s">
        <v>21</v>
      </c>
      <c r="M52" s="522" t="s">
        <v>21</v>
      </c>
      <c r="N52" s="522" t="s">
        <v>21</v>
      </c>
      <c r="O52" s="522" t="s">
        <v>21</v>
      </c>
      <c r="P52" s="522" t="s">
        <v>21</v>
      </c>
      <c r="Q52" s="522" t="s">
        <v>21</v>
      </c>
      <c r="R52" s="522" t="s">
        <v>21</v>
      </c>
      <c r="S52" s="718" t="s">
        <v>21</v>
      </c>
      <c r="T52" s="523" t="s">
        <v>21</v>
      </c>
      <c r="U52" s="523" t="s">
        <v>21</v>
      </c>
      <c r="V52" s="522" t="s">
        <v>21</v>
      </c>
      <c r="W52" s="522" t="s">
        <v>21</v>
      </c>
      <c r="X52" s="522" t="s">
        <v>21</v>
      </c>
      <c r="Y52" s="522" t="s">
        <v>21</v>
      </c>
      <c r="Z52" s="112"/>
      <c r="AA52" s="814"/>
      <c r="AB52" s="113"/>
      <c r="AC52" s="113"/>
    </row>
    <row r="53" spans="1:29" s="114" customFormat="1">
      <c r="A53" s="90"/>
      <c r="B53" s="813"/>
      <c r="C53" s="419" t="s">
        <v>467</v>
      </c>
      <c r="D53" s="423" t="s">
        <v>21</v>
      </c>
      <c r="E53" s="423" t="s">
        <v>21</v>
      </c>
      <c r="F53" s="423" t="s">
        <v>21</v>
      </c>
      <c r="G53" s="423" t="s">
        <v>21</v>
      </c>
      <c r="H53" s="423" t="s">
        <v>21</v>
      </c>
      <c r="I53" s="423" t="s">
        <v>21</v>
      </c>
      <c r="J53" s="423" t="s">
        <v>21</v>
      </c>
      <c r="K53" s="423" t="s">
        <v>21</v>
      </c>
      <c r="L53" s="423" t="s">
        <v>21</v>
      </c>
      <c r="M53" s="423" t="s">
        <v>21</v>
      </c>
      <c r="N53" s="420">
        <f>'19. BOP Misc. Fugitives'!C71</f>
        <v>7.2807845510410516</v>
      </c>
      <c r="O53" s="420">
        <f>'19. BOP Misc. Fugitives'!D71</f>
        <v>31.889836333559806</v>
      </c>
      <c r="P53" s="522" t="s">
        <v>21</v>
      </c>
      <c r="Q53" s="522" t="s">
        <v>21</v>
      </c>
      <c r="R53" s="522" t="s">
        <v>21</v>
      </c>
      <c r="S53" s="718" t="s">
        <v>21</v>
      </c>
      <c r="T53" s="523" t="s">
        <v>21</v>
      </c>
      <c r="U53" s="523" t="s">
        <v>21</v>
      </c>
      <c r="V53" s="420">
        <f>'19. BOP Misc. Fugitives'!C74</f>
        <v>7.2807845510410516</v>
      </c>
      <c r="W53" s="420">
        <f>'19. BOP Misc. Fugitives'!D74</f>
        <v>31.889836333559806</v>
      </c>
      <c r="X53" s="522" t="s">
        <v>21</v>
      </c>
      <c r="Y53" s="522" t="s">
        <v>21</v>
      </c>
      <c r="Z53" s="112"/>
      <c r="AA53" s="814"/>
      <c r="AB53" s="113"/>
      <c r="AC53" s="113"/>
    </row>
    <row r="54" spans="1:29" s="114" customFormat="1">
      <c r="A54" s="90">
        <v>20</v>
      </c>
      <c r="B54" s="121" t="s">
        <v>21</v>
      </c>
      <c r="C54" s="412" t="s">
        <v>550</v>
      </c>
      <c r="D54" s="410">
        <f>'20. Storage Piles'!C26</f>
        <v>0.58220646178092983</v>
      </c>
      <c r="E54" s="410">
        <f>'20. Storage Piles'!D26</f>
        <v>2.5500643026004726</v>
      </c>
      <c r="F54" s="410">
        <f>'20. Storage Piles'!C27</f>
        <v>0.27536792111260194</v>
      </c>
      <c r="G54" s="410">
        <f>'20. Storage Piles'!D27</f>
        <v>1.2061114944731968</v>
      </c>
      <c r="H54" s="410">
        <f>'20. Storage Piles'!C28</f>
        <v>8.6544203778246342E-2</v>
      </c>
      <c r="I54" s="410">
        <f>'20. Storage Piles'!D28</f>
        <v>0.37906361254871901</v>
      </c>
      <c r="J54" s="410" t="s">
        <v>21</v>
      </c>
      <c r="K54" s="410" t="s">
        <v>21</v>
      </c>
      <c r="L54" s="410" t="s">
        <v>21</v>
      </c>
      <c r="M54" s="410" t="s">
        <v>21</v>
      </c>
      <c r="N54" s="410" t="s">
        <v>21</v>
      </c>
      <c r="O54" s="410" t="s">
        <v>21</v>
      </c>
      <c r="P54" s="410" t="s">
        <v>21</v>
      </c>
      <c r="Q54" s="410" t="s">
        <v>21</v>
      </c>
      <c r="R54" s="410" t="s">
        <v>21</v>
      </c>
      <c r="S54" s="714" t="s">
        <v>21</v>
      </c>
      <c r="T54" s="413" t="s">
        <v>21</v>
      </c>
      <c r="U54" s="413" t="s">
        <v>21</v>
      </c>
      <c r="V54" s="410" t="s">
        <v>21</v>
      </c>
      <c r="W54" s="410" t="s">
        <v>21</v>
      </c>
      <c r="X54" s="410" t="s">
        <v>21</v>
      </c>
      <c r="Y54" s="410" t="s">
        <v>21</v>
      </c>
      <c r="Z54" s="112"/>
      <c r="AA54" s="728" t="s">
        <v>787</v>
      </c>
      <c r="AB54" s="113"/>
      <c r="AC54" s="113"/>
    </row>
    <row r="55" spans="1:29" s="114" customFormat="1">
      <c r="A55" s="90">
        <v>21</v>
      </c>
      <c r="B55" s="121" t="s">
        <v>21</v>
      </c>
      <c r="C55" s="412" t="s">
        <v>574</v>
      </c>
      <c r="D55" s="418" t="s">
        <v>21</v>
      </c>
      <c r="E55" s="418" t="s">
        <v>21</v>
      </c>
      <c r="F55" s="418" t="s">
        <v>21</v>
      </c>
      <c r="G55" s="418" t="s">
        <v>21</v>
      </c>
      <c r="H55" s="418" t="s">
        <v>21</v>
      </c>
      <c r="I55" s="418" t="s">
        <v>21</v>
      </c>
      <c r="J55" s="418" t="s">
        <v>21</v>
      </c>
      <c r="K55" s="418" t="s">
        <v>21</v>
      </c>
      <c r="L55" s="418" t="s">
        <v>21</v>
      </c>
      <c r="M55" s="418" t="s">
        <v>21</v>
      </c>
      <c r="N55" s="410">
        <f>SUM('21. Paints &amp; Solvents'!C24,'21. Paints &amp; Solvents'!C44)</f>
        <v>11.426312126819964</v>
      </c>
      <c r="O55" s="410">
        <f>SUM('21. Paints &amp; Solvents'!D24,'21. Paints &amp; Solvents'!D44)</f>
        <v>11.883364611892762</v>
      </c>
      <c r="P55" s="418" t="s">
        <v>21</v>
      </c>
      <c r="Q55" s="418" t="s">
        <v>21</v>
      </c>
      <c r="R55" s="418" t="s">
        <v>21</v>
      </c>
      <c r="S55" s="717" t="s">
        <v>21</v>
      </c>
      <c r="T55" s="418" t="s">
        <v>21</v>
      </c>
      <c r="U55" s="418" t="s">
        <v>21</v>
      </c>
      <c r="V55" s="410">
        <f>SUM('21. Paints &amp; Solvents'!C27:C31)</f>
        <v>0.69864456800519259</v>
      </c>
      <c r="W55" s="410">
        <f>SUM('21. Paints &amp; Solvents'!D27:D31)</f>
        <v>0.72659035072540035</v>
      </c>
      <c r="X55" s="418" t="s">
        <v>21</v>
      </c>
      <c r="Y55" s="418" t="s">
        <v>21</v>
      </c>
      <c r="Z55" s="112"/>
      <c r="AA55" s="728" t="s">
        <v>788</v>
      </c>
      <c r="AB55" s="113"/>
      <c r="AC55" s="113"/>
    </row>
    <row r="56" spans="1:29" s="114" customFormat="1">
      <c r="A56" s="90">
        <v>22</v>
      </c>
      <c r="B56" s="121" t="s">
        <v>21</v>
      </c>
      <c r="C56" s="412" t="s">
        <v>778</v>
      </c>
      <c r="D56" s="415">
        <f>'22. Misc. NG Combustion'!C23</f>
        <v>6.75040371135886E-2</v>
      </c>
      <c r="E56" s="415">
        <f>'22. Misc. NG Combustion'!D23</f>
        <v>0.29566768255751802</v>
      </c>
      <c r="F56" s="415">
        <f>'22. Misc. NG Combustion'!C24</f>
        <v>6.75040371135886E-2</v>
      </c>
      <c r="G56" s="415">
        <f>'22. Misc. NG Combustion'!D24</f>
        <v>0.29566768255751802</v>
      </c>
      <c r="H56" s="415">
        <f>'22. Misc. NG Combustion'!C25</f>
        <v>6.75040371135886E-2</v>
      </c>
      <c r="I56" s="415">
        <f>'22. Misc. NG Combustion'!D25</f>
        <v>0.29566768255751802</v>
      </c>
      <c r="J56" s="415">
        <f>'22. Misc. NG Combustion'!C26</f>
        <v>0.20251211134076574</v>
      </c>
      <c r="K56" s="415">
        <f>'22. Misc. NG Combustion'!D26</f>
        <v>0.887003047672554</v>
      </c>
      <c r="L56" s="415">
        <f>'22. Misc. NG Combustion'!C27</f>
        <v>3.5528440586099252</v>
      </c>
      <c r="M56" s="415">
        <f>'22. Misc. NG Combustion'!D27</f>
        <v>15.561456976711474</v>
      </c>
      <c r="N56" s="415">
        <f>'22. Misc. NG Combustion'!C28</f>
        <v>0.19540642322354587</v>
      </c>
      <c r="O56" s="415">
        <f>'22. Misc. NG Combustion'!D28</f>
        <v>0.85588013371913096</v>
      </c>
      <c r="P56" s="415">
        <f>'22. Misc. NG Combustion'!C29</f>
        <v>2.1317064351659552E-2</v>
      </c>
      <c r="Q56" s="415">
        <f>'22. Misc. NG Combustion'!D29</f>
        <v>9.3368741860268847E-2</v>
      </c>
      <c r="R56" s="415">
        <f>'22. Misc. NG Combustion'!C30</f>
        <v>2.9843890092323377</v>
      </c>
      <c r="S56" s="415">
        <f>'22. Misc. NG Combustion'!D30</f>
        <v>13.071623860437638</v>
      </c>
      <c r="T56" s="720">
        <f>'22. Misc. NG Combustion'!C68</f>
        <v>1.7764220293049628E-5</v>
      </c>
      <c r="U56" s="720">
        <f>'22. Misc. NG Combustion'!D68</f>
        <v>7.7807284883557373E-5</v>
      </c>
      <c r="V56" s="415">
        <f>SUM('22. Misc. NG Combustion'!C52:C70)</f>
        <v>0.17808125629357116</v>
      </c>
      <c r="W56" s="415">
        <f>SUM('22. Misc. NG Combustion'!D52:D70)</f>
        <v>0.77999590256584195</v>
      </c>
      <c r="X56" s="411">
        <f>'22. Misc. NG Combustion'!C78</f>
        <v>4405.7709590420463</v>
      </c>
      <c r="Y56" s="411">
        <f>'22. Misc. NG Combustion'!D78</f>
        <v>19297.276800604162</v>
      </c>
      <c r="Z56" s="112"/>
      <c r="AA56" s="728"/>
      <c r="AB56" s="113"/>
      <c r="AC56" s="113"/>
    </row>
    <row r="57" spans="1:29" s="114" customFormat="1">
      <c r="A57" s="90">
        <v>23</v>
      </c>
      <c r="B57" s="121" t="s">
        <v>21</v>
      </c>
      <c r="C57" s="412" t="s">
        <v>755</v>
      </c>
      <c r="D57" s="415">
        <f>'23. Emergency Generators'!C27</f>
        <v>2.705591666666666</v>
      </c>
      <c r="E57" s="415">
        <f>'23. Emergency Generators'!D27</f>
        <v>0.67639791666666649</v>
      </c>
      <c r="F57" s="415">
        <f>'23. Emergency Generators'!C28</f>
        <v>2.705591666666666</v>
      </c>
      <c r="G57" s="415">
        <f>'23. Emergency Generators'!D28</f>
        <v>0.67639791666666649</v>
      </c>
      <c r="H57" s="415">
        <f>'23. Emergency Generators'!C29</f>
        <v>2.705591666666666</v>
      </c>
      <c r="I57" s="415">
        <f>'23. Emergency Generators'!D29</f>
        <v>0.67639791666666649</v>
      </c>
      <c r="J57" s="415">
        <f>'23. Emergency Generators'!C30</f>
        <v>0.36216949999999998</v>
      </c>
      <c r="K57" s="415">
        <f>'23. Emergency Generators'!D30</f>
        <v>9.0542374999999994E-2</v>
      </c>
      <c r="L57" s="415">
        <f>'23. Emergency Generators'!C31</f>
        <v>90.186388888888885</v>
      </c>
      <c r="M57" s="415">
        <f>'23. Emergency Generators'!D31</f>
        <v>22.546597222222221</v>
      </c>
      <c r="N57" s="415">
        <f>'23. Emergency Generators'!C32</f>
        <v>6.4418849206349194</v>
      </c>
      <c r="O57" s="415">
        <f>'23. Emergency Generators'!D32</f>
        <v>1.6104712301587298</v>
      </c>
      <c r="P57" s="415">
        <f>'23. Emergency Generators'!C33</f>
        <v>8.1554480999999984E-2</v>
      </c>
      <c r="Q57" s="415">
        <f>'23. Emergency Generators'!D33</f>
        <v>2.0388620249999996E-2</v>
      </c>
      <c r="R57" s="415">
        <f>'23. Emergency Generators'!C34</f>
        <v>12.883769841269839</v>
      </c>
      <c r="S57" s="415">
        <f>'23. Emergency Generators'!D34</f>
        <v>3.2209424603174597</v>
      </c>
      <c r="T57" s="417" t="s">
        <v>21</v>
      </c>
      <c r="U57" s="417" t="s">
        <v>21</v>
      </c>
      <c r="V57" s="415">
        <f>SUM('23. Emergency Generators'!C38:C43)</f>
        <v>6.0465741999999996E-2</v>
      </c>
      <c r="W57" s="415">
        <f>SUM('23. Emergency Generators'!D38:D43)</f>
        <v>1.5116435499999999E-2</v>
      </c>
      <c r="X57" s="411">
        <f>'23. Emergency Generators'!C49</f>
        <v>8149.5952012971438</v>
      </c>
      <c r="Y57" s="411">
        <f>'23. Emergency Generators'!D49</f>
        <v>2037.3988003242862</v>
      </c>
      <c r="Z57" s="112"/>
      <c r="AA57" s="728"/>
      <c r="AB57" s="113"/>
      <c r="AC57" s="113"/>
    </row>
    <row r="58" spans="1:29" ht="6" customHeight="1" thickBot="1">
      <c r="B58" s="124"/>
      <c r="C58" s="122"/>
      <c r="D58" s="404"/>
      <c r="E58" s="404"/>
      <c r="F58" s="404"/>
      <c r="G58" s="404"/>
      <c r="H58" s="404"/>
      <c r="I58" s="404"/>
      <c r="J58" s="404"/>
      <c r="K58" s="404"/>
      <c r="L58" s="404"/>
      <c r="M58" s="404"/>
      <c r="N58" s="404"/>
      <c r="O58" s="404"/>
      <c r="P58" s="404"/>
      <c r="Q58" s="404"/>
      <c r="R58" s="404"/>
      <c r="S58" s="404"/>
      <c r="T58" s="404"/>
      <c r="U58" s="404"/>
      <c r="V58" s="404"/>
      <c r="W58" s="404"/>
      <c r="X58" s="403"/>
      <c r="Y58" s="403"/>
      <c r="AA58" s="731"/>
      <c r="AB58" s="123"/>
      <c r="AC58" s="123"/>
    </row>
    <row r="59" spans="1:29" ht="7.5" customHeight="1">
      <c r="B59" s="119"/>
      <c r="C59" s="120"/>
      <c r="D59" s="125"/>
      <c r="E59" s="125"/>
      <c r="F59" s="125"/>
      <c r="G59" s="125"/>
      <c r="H59" s="125"/>
      <c r="I59" s="125"/>
      <c r="J59" s="125"/>
      <c r="K59" s="125"/>
      <c r="L59" s="125"/>
      <c r="M59" s="125"/>
      <c r="N59" s="125"/>
      <c r="O59" s="125"/>
      <c r="P59" s="125"/>
      <c r="Q59" s="125"/>
      <c r="R59" s="125"/>
      <c r="S59" s="125"/>
      <c r="T59" s="125"/>
      <c r="U59" s="125"/>
      <c r="V59" s="125"/>
      <c r="W59" s="125"/>
      <c r="X59" s="524"/>
      <c r="Y59" s="126"/>
      <c r="AA59" s="731"/>
      <c r="AB59" s="123"/>
      <c r="AC59" s="123"/>
    </row>
    <row r="60" spans="1:29">
      <c r="B60" s="295" t="s">
        <v>626</v>
      </c>
      <c r="C60" s="407" t="s">
        <v>1</v>
      </c>
      <c r="D60" s="416">
        <f t="shared" ref="D60:Y60" si="26">SUM(D15,D21,D22,D23,D29,D30,D37,D38,D39,D40,D41,D42,D45,D46,D49,D54,D55,D56,D57)</f>
        <v>324.43306704229866</v>
      </c>
      <c r="E60" s="416">
        <f t="shared" si="26"/>
        <v>1397.2519400619351</v>
      </c>
      <c r="F60" s="416">
        <f t="shared" si="26"/>
        <v>303.66741412037806</v>
      </c>
      <c r="G60" s="416">
        <f t="shared" si="26"/>
        <v>1306.2983802639224</v>
      </c>
      <c r="H60" s="416">
        <f t="shared" si="26"/>
        <v>288.38943625486621</v>
      </c>
      <c r="I60" s="416">
        <f t="shared" si="26"/>
        <v>1239.3808372129802</v>
      </c>
      <c r="J60" s="416">
        <f t="shared" si="26"/>
        <v>29.669585249393492</v>
      </c>
      <c r="K60" s="416">
        <f t="shared" si="26"/>
        <v>128.45702335734353</v>
      </c>
      <c r="L60" s="416">
        <f t="shared" si="26"/>
        <v>426.25212836288568</v>
      </c>
      <c r="M60" s="416">
        <f t="shared" si="26"/>
        <v>1356.5445361183283</v>
      </c>
      <c r="N60" s="416">
        <f t="shared" si="26"/>
        <v>52.843926511607641</v>
      </c>
      <c r="O60" s="416">
        <f t="shared" si="26"/>
        <v>166.68753089504057</v>
      </c>
      <c r="P60" s="416">
        <f t="shared" si="26"/>
        <v>927.67045262194847</v>
      </c>
      <c r="Q60" s="416">
        <f t="shared" si="26"/>
        <v>3858.0442908787509</v>
      </c>
      <c r="R60" s="416">
        <f t="shared" si="26"/>
        <v>4386.1069624182473</v>
      </c>
      <c r="S60" s="416">
        <f t="shared" si="26"/>
        <v>19157.938525947477</v>
      </c>
      <c r="T60" s="416">
        <f t="shared" si="26"/>
        <v>0.26906092285348859</v>
      </c>
      <c r="U60" s="416">
        <f t="shared" si="26"/>
        <v>1.1785345865560239</v>
      </c>
      <c r="V60" s="416">
        <f t="shared" si="26"/>
        <v>40.447118191912594</v>
      </c>
      <c r="W60" s="416">
        <f t="shared" si="26"/>
        <v>174.51284400124021</v>
      </c>
      <c r="X60" s="411">
        <f t="shared" si="26"/>
        <v>2639163.6350842942</v>
      </c>
      <c r="Y60" s="411">
        <f t="shared" si="26"/>
        <v>11525878.893487854</v>
      </c>
      <c r="AA60" s="731"/>
      <c r="AB60" s="123"/>
      <c r="AC60" s="123"/>
    </row>
    <row r="61" spans="1:29" ht="7.5" customHeight="1" thickBot="1">
      <c r="B61" s="127"/>
      <c r="C61" s="103"/>
      <c r="D61" s="128"/>
      <c r="E61" s="128"/>
      <c r="F61" s="128"/>
      <c r="G61" s="128"/>
      <c r="H61" s="128"/>
      <c r="I61" s="128"/>
      <c r="J61" s="128"/>
      <c r="K61" s="128"/>
      <c r="L61" s="128"/>
      <c r="M61" s="128"/>
      <c r="N61" s="128"/>
      <c r="O61" s="128"/>
      <c r="P61" s="128"/>
      <c r="Q61" s="128"/>
      <c r="R61" s="128"/>
      <c r="S61" s="128"/>
      <c r="T61" s="128"/>
      <c r="U61" s="128"/>
      <c r="V61" s="128"/>
      <c r="W61" s="128"/>
      <c r="X61" s="128"/>
      <c r="Y61" s="129"/>
      <c r="AA61" s="731"/>
      <c r="AB61" s="123"/>
      <c r="AC61" s="123"/>
    </row>
    <row r="62" spans="1:29">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AA62" s="731"/>
      <c r="AB62" s="123"/>
      <c r="AC62" s="123"/>
    </row>
    <row r="63" spans="1:29">
      <c r="B63" s="130" t="s">
        <v>125</v>
      </c>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AA63" s="731"/>
      <c r="AB63" s="123"/>
      <c r="AC63" s="123"/>
    </row>
    <row r="64" spans="1:29">
      <c r="B64" s="131" t="s">
        <v>627</v>
      </c>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AA64" s="731"/>
      <c r="AB64" s="123"/>
      <c r="AC64" s="123"/>
    </row>
    <row r="65" spans="2:29">
      <c r="B65" s="131"/>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AA65" s="731"/>
      <c r="AB65" s="123"/>
      <c r="AC65" s="123"/>
    </row>
    <row r="66" spans="2:29">
      <c r="B66" s="123"/>
      <c r="C66" s="123"/>
      <c r="D66" s="123"/>
      <c r="E66" s="123"/>
      <c r="F66" s="724">
        <f>F40/3</f>
        <v>26.25</v>
      </c>
      <c r="G66" s="724">
        <f t="shared" ref="G66:Y66" si="27">G40/3</f>
        <v>114.98</v>
      </c>
      <c r="H66" s="724">
        <f t="shared" si="27"/>
        <v>26.25</v>
      </c>
      <c r="I66" s="724">
        <f t="shared" si="27"/>
        <v>114.98</v>
      </c>
      <c r="J66" s="724">
        <f t="shared" si="27"/>
        <v>3.3047646717024985</v>
      </c>
      <c r="K66" s="724">
        <f t="shared" si="27"/>
        <v>14.474869262056943</v>
      </c>
      <c r="L66" s="724">
        <f t="shared" si="27"/>
        <v>36.75</v>
      </c>
      <c r="M66" s="724">
        <f t="shared" si="27"/>
        <v>114.97499999999998</v>
      </c>
      <c r="N66" s="724">
        <f t="shared" si="27"/>
        <v>0.140875</v>
      </c>
      <c r="O66" s="724">
        <f t="shared" si="27"/>
        <v>0.61703249999999998</v>
      </c>
      <c r="P66" s="724">
        <f t="shared" si="27"/>
        <v>185.63666666666666</v>
      </c>
      <c r="Q66" s="724">
        <f t="shared" si="27"/>
        <v>813.08859999999993</v>
      </c>
      <c r="R66" s="724">
        <f t="shared" si="27"/>
        <v>0.36224999999999996</v>
      </c>
      <c r="S66" s="724">
        <f t="shared" si="27"/>
        <v>1.5866549999999997</v>
      </c>
      <c r="T66" s="725">
        <f t="shared" si="27"/>
        <v>2.234844192634561E-4</v>
      </c>
      <c r="U66" s="725">
        <f t="shared" si="27"/>
        <v>9.788617563739378E-4</v>
      </c>
      <c r="V66" s="724">
        <f t="shared" si="27"/>
        <v>2.3348352544370248</v>
      </c>
      <c r="W66" s="724">
        <f t="shared" si="27"/>
        <v>10.226578414434167</v>
      </c>
      <c r="X66" s="726">
        <f t="shared" si="27"/>
        <v>248973.9139130582</v>
      </c>
      <c r="Y66" s="726">
        <f t="shared" si="27"/>
        <v>1090505.7429391949</v>
      </c>
      <c r="AA66" s="731"/>
      <c r="AB66" s="123"/>
      <c r="AC66" s="123"/>
    </row>
    <row r="67" spans="2:29">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AA67" s="731"/>
      <c r="AB67" s="123"/>
      <c r="AC67" s="123"/>
    </row>
    <row r="68" spans="2:29">
      <c r="B68" s="778"/>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AA68" s="731"/>
      <c r="AB68" s="123"/>
      <c r="AC68" s="123"/>
    </row>
    <row r="69" spans="2:29">
      <c r="B69" s="812" t="s">
        <v>808</v>
      </c>
      <c r="C69" s="812"/>
      <c r="D69" s="812"/>
      <c r="E69" s="812"/>
      <c r="F69" s="812"/>
      <c r="G69" s="123"/>
      <c r="H69" s="123"/>
      <c r="I69" s="123"/>
      <c r="J69" s="123"/>
      <c r="K69" s="123"/>
      <c r="L69" s="123"/>
      <c r="M69" s="123"/>
      <c r="N69" s="123"/>
      <c r="O69" s="123"/>
      <c r="P69" s="123"/>
      <c r="Q69" s="123"/>
      <c r="R69" s="123"/>
      <c r="S69" s="123"/>
      <c r="T69" s="123"/>
      <c r="U69" s="123"/>
      <c r="V69" s="123"/>
      <c r="W69" s="123"/>
      <c r="X69" s="123"/>
      <c r="Y69" s="123"/>
      <c r="AA69" s="731"/>
      <c r="AB69" s="123"/>
      <c r="AC69" s="123"/>
    </row>
    <row r="70" spans="2:29">
      <c r="B70" s="812"/>
      <c r="C70" s="812"/>
      <c r="D70" s="812"/>
      <c r="E70" s="812"/>
      <c r="F70" s="812"/>
      <c r="G70" s="123"/>
      <c r="H70" s="123"/>
      <c r="I70" s="123"/>
      <c r="J70" s="123"/>
      <c r="K70" s="123"/>
      <c r="L70" s="123"/>
      <c r="M70" s="123"/>
      <c r="N70" s="123"/>
      <c r="O70" s="123"/>
      <c r="P70" s="123"/>
      <c r="Q70" s="123"/>
      <c r="R70" s="123"/>
      <c r="S70" s="123"/>
      <c r="T70" s="123"/>
      <c r="U70" s="123"/>
      <c r="V70" s="123"/>
      <c r="W70" s="123"/>
      <c r="X70" s="123"/>
      <c r="Y70" s="123"/>
      <c r="AA70" s="731"/>
      <c r="AB70" s="123"/>
      <c r="AC70" s="123"/>
    </row>
    <row r="71" spans="2:29">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AA71" s="731"/>
      <c r="AB71" s="123"/>
      <c r="AC71" s="123"/>
    </row>
    <row r="72" spans="2:29">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AA72" s="731"/>
      <c r="AB72" s="123"/>
      <c r="AC72" s="123"/>
    </row>
    <row r="73" spans="2:29">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AA73" s="731"/>
      <c r="AB73" s="123"/>
      <c r="AC73" s="123"/>
    </row>
    <row r="74" spans="2:29">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AA74" s="731"/>
      <c r="AB74" s="123"/>
      <c r="AC74" s="123"/>
    </row>
    <row r="75" spans="2:29">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AA75" s="731"/>
      <c r="AB75" s="123"/>
      <c r="AC75" s="123"/>
    </row>
    <row r="76" spans="2:29">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AA76" s="731"/>
      <c r="AB76" s="123"/>
      <c r="AC76" s="123"/>
    </row>
    <row r="77" spans="2:29">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AA77" s="731"/>
      <c r="AB77" s="123"/>
      <c r="AC77" s="123"/>
    </row>
    <row r="78" spans="2:29">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AA78" s="731"/>
      <c r="AB78" s="123"/>
      <c r="AC78" s="123"/>
    </row>
    <row r="79" spans="2:29">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AA79" s="731"/>
      <c r="AB79" s="123"/>
      <c r="AC79" s="123"/>
    </row>
    <row r="80" spans="2:29">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AA80" s="731"/>
      <c r="AB80" s="123"/>
      <c r="AC80" s="123"/>
    </row>
    <row r="81" spans="2:29">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AA81" s="731"/>
      <c r="AB81" s="123"/>
      <c r="AC81" s="123"/>
    </row>
    <row r="82" spans="2:29">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AA82" s="731"/>
      <c r="AB82" s="123"/>
      <c r="AC82" s="123"/>
    </row>
    <row r="83" spans="2:29">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AA83" s="731"/>
      <c r="AB83" s="123"/>
      <c r="AC83" s="123"/>
    </row>
    <row r="84" spans="2:29">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AA84" s="731"/>
      <c r="AB84" s="123"/>
      <c r="AC84" s="123"/>
    </row>
    <row r="85" spans="2:29">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AA85" s="731"/>
      <c r="AB85" s="123"/>
      <c r="AC85" s="123"/>
    </row>
    <row r="86" spans="2:29">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AA86" s="731"/>
      <c r="AB86" s="123"/>
      <c r="AC86" s="123"/>
    </row>
    <row r="87" spans="2:29">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AA87" s="731"/>
      <c r="AB87" s="123"/>
      <c r="AC87" s="123"/>
    </row>
    <row r="88" spans="2:29">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AA88" s="731"/>
      <c r="AB88" s="123"/>
      <c r="AC88" s="123"/>
    </row>
    <row r="89" spans="2:29">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AA89" s="731"/>
      <c r="AB89" s="123"/>
      <c r="AC89" s="123"/>
    </row>
    <row r="90" spans="2:29">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AA90" s="731"/>
      <c r="AB90" s="123"/>
      <c r="AC90" s="123"/>
    </row>
    <row r="91" spans="2:29">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AA91" s="731"/>
      <c r="AB91" s="123"/>
      <c r="AC91" s="123"/>
    </row>
  </sheetData>
  <mergeCells count="26">
    <mergeCell ref="F11:G11"/>
    <mergeCell ref="D11:E11"/>
    <mergeCell ref="B42:B44"/>
    <mergeCell ref="B30:B36"/>
    <mergeCell ref="L11:M11"/>
    <mergeCell ref="H11:I11"/>
    <mergeCell ref="B10:B12"/>
    <mergeCell ref="C10:C12"/>
    <mergeCell ref="J11:K11"/>
    <mergeCell ref="D10:Y10"/>
    <mergeCell ref="V11:W11"/>
    <mergeCell ref="X11:Y11"/>
    <mergeCell ref="T11:U11"/>
    <mergeCell ref="R11:S11"/>
    <mergeCell ref="P11:Q11"/>
    <mergeCell ref="N11:O11"/>
    <mergeCell ref="B69:F70"/>
    <mergeCell ref="B49:B53"/>
    <mergeCell ref="B46:B48"/>
    <mergeCell ref="AA15:AA22"/>
    <mergeCell ref="AA23:AA28"/>
    <mergeCell ref="AA30:AA36"/>
    <mergeCell ref="AA46:AA48"/>
    <mergeCell ref="AA49:AA53"/>
    <mergeCell ref="B15:B20"/>
    <mergeCell ref="B23:B28"/>
  </mergeCells>
  <pageMargins left="0.2" right="0.2" top="0.25" bottom="0.25" header="0.05" footer="0.05"/>
  <pageSetup scale="54" orientation="landscape" horizontalDpi="1200" verticalDpi="1200" r:id="rId1"/>
  <colBreaks count="2" manualBreakCount="2">
    <brk id="19" max="63" man="1"/>
    <brk id="25"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J26"/>
  <sheetViews>
    <sheetView zoomScaleNormal="100" zoomScaleSheetLayoutView="90" workbookViewId="0">
      <selection activeCell="D17" sqref="D17"/>
    </sheetView>
  </sheetViews>
  <sheetFormatPr defaultColWidth="9.140625" defaultRowHeight="12.75"/>
  <cols>
    <col min="1" max="1" width="4.7109375" style="90" customWidth="1"/>
    <col min="2" max="2" width="27.5703125" style="90" customWidth="1"/>
    <col min="3" max="5" width="29.28515625" style="90" customWidth="1"/>
    <col min="6" max="16384" width="9.140625" style="90"/>
  </cols>
  <sheetData>
    <row r="2" spans="2:10" s="6" customFormat="1">
      <c r="B2" s="5" t="str">
        <f>'Key Inputs'!B2</f>
        <v>Company Name:</v>
      </c>
      <c r="C2" s="279" t="str">
        <f>'Key Inputs'!C2</f>
        <v>U. S. Steel Corp.</v>
      </c>
      <c r="F2" s="5"/>
      <c r="H2" s="8"/>
      <c r="I2" s="9"/>
    </row>
    <row r="3" spans="2:10" s="6" customFormat="1">
      <c r="B3" s="5" t="str">
        <f>'Key Inputs'!B3</f>
        <v>Site Name:</v>
      </c>
      <c r="C3" s="279" t="str">
        <f>'Key Inputs'!C3</f>
        <v>Edgar Thomson Plant</v>
      </c>
      <c r="F3" s="5"/>
      <c r="H3" s="8"/>
      <c r="I3" s="9"/>
    </row>
    <row r="4" spans="2:10" s="6" customFormat="1">
      <c r="B4" s="5" t="str">
        <f>'Key Inputs'!B4</f>
        <v>Description:</v>
      </c>
      <c r="C4" s="279" t="str">
        <f>'Key Inputs'!C4</f>
        <v>Title V Permit Renewal</v>
      </c>
      <c r="F4" s="5"/>
      <c r="H4" s="8"/>
      <c r="I4" s="9"/>
    </row>
    <row r="5" spans="2:10" s="6" customFormat="1">
      <c r="B5" s="5" t="str">
        <f>'Key Inputs'!B5</f>
        <v>Date:</v>
      </c>
      <c r="C5" s="281" t="str">
        <f>'Key Inputs'!C5</f>
        <v>10/7/2020 - DRAFT</v>
      </c>
      <c r="F5" s="5"/>
      <c r="H5" s="8"/>
      <c r="I5" s="9"/>
    </row>
    <row r="6" spans="2:10" s="6" customFormat="1" ht="18.75" customHeight="1">
      <c r="B6" s="5"/>
      <c r="C6" s="5"/>
      <c r="D6" s="5"/>
      <c r="E6" s="5"/>
      <c r="F6" s="5"/>
      <c r="H6" s="8"/>
      <c r="I6" s="9"/>
    </row>
    <row r="7" spans="2:10" s="13" customFormat="1">
      <c r="B7" s="85" t="s">
        <v>622</v>
      </c>
      <c r="C7" s="85"/>
      <c r="D7" s="85"/>
      <c r="E7" s="85"/>
      <c r="F7" s="85"/>
      <c r="I7" s="86"/>
    </row>
    <row r="9" spans="2:10" ht="13.5" thickBot="1"/>
    <row r="10" spans="2:10">
      <c r="B10" s="827" t="s">
        <v>32</v>
      </c>
      <c r="C10" s="825" t="s">
        <v>117</v>
      </c>
      <c r="D10" s="826"/>
      <c r="E10" s="550" t="s">
        <v>779</v>
      </c>
    </row>
    <row r="11" spans="2:10" ht="15" customHeight="1" thickBot="1">
      <c r="B11" s="828"/>
      <c r="C11" s="548" t="s">
        <v>115</v>
      </c>
      <c r="D11" s="365" t="s">
        <v>116</v>
      </c>
      <c r="E11" s="551" t="s">
        <v>116</v>
      </c>
    </row>
    <row r="12" spans="2:10" ht="5.0999999999999996" customHeight="1">
      <c r="B12" s="99"/>
      <c r="C12" s="549"/>
      <c r="D12" s="358"/>
      <c r="E12" s="552"/>
    </row>
    <row r="13" spans="2:10" ht="15.6" customHeight="1">
      <c r="B13" s="101" t="s">
        <v>64</v>
      </c>
      <c r="C13" s="542">
        <f>'A. Source Summary'!D60+'A. Source Summary'!J60</f>
        <v>354.10265229169215</v>
      </c>
      <c r="D13" s="367">
        <f>'A. Source Summary'!E60+'A. Source Summary'!K60</f>
        <v>1525.7089634192787</v>
      </c>
      <c r="E13" s="553">
        <v>1325.14</v>
      </c>
      <c r="I13" s="102"/>
      <c r="J13" s="102"/>
    </row>
    <row r="14" spans="2:10" ht="15.6" customHeight="1">
      <c r="B14" s="101" t="s">
        <v>154</v>
      </c>
      <c r="C14" s="542">
        <f>'A. Source Summary'!F60+'A. Source Summary'!J60</f>
        <v>333.33699936977155</v>
      </c>
      <c r="D14" s="367">
        <f>'A. Source Summary'!G60+'A. Source Summary'!K60</f>
        <v>1434.7554036212659</v>
      </c>
      <c r="E14" s="553">
        <v>1312</v>
      </c>
      <c r="I14" s="102"/>
      <c r="J14" s="102"/>
    </row>
    <row r="15" spans="2:10" ht="15.6" customHeight="1">
      <c r="B15" s="101" t="s">
        <v>155</v>
      </c>
      <c r="C15" s="542">
        <f>'A. Source Summary'!H60+'A. Source Summary'!J60</f>
        <v>318.0590215042597</v>
      </c>
      <c r="D15" s="367">
        <f>'A. Source Summary'!I60+'A. Source Summary'!K60</f>
        <v>1367.8378605703238</v>
      </c>
      <c r="E15" s="553">
        <v>1312</v>
      </c>
      <c r="I15" s="102"/>
      <c r="J15" s="102"/>
    </row>
    <row r="16" spans="2:10" ht="15.6" customHeight="1">
      <c r="B16" s="101" t="s">
        <v>156</v>
      </c>
      <c r="C16" s="542">
        <f>'A. Source Summary'!$L$60</f>
        <v>426.25212836288568</v>
      </c>
      <c r="D16" s="367">
        <f>'A. Source Summary'!$M$60</f>
        <v>1356.5445361183283</v>
      </c>
      <c r="E16" s="553">
        <v>2508.9699999999998</v>
      </c>
      <c r="I16" s="102"/>
      <c r="J16" s="102"/>
    </row>
    <row r="17" spans="2:10" ht="15.6" customHeight="1">
      <c r="B17" s="101" t="s">
        <v>101</v>
      </c>
      <c r="C17" s="542">
        <f>'A. Source Summary'!$N$60</f>
        <v>52.843926511607641</v>
      </c>
      <c r="D17" s="367">
        <f>'A. Source Summary'!$O$60</f>
        <v>166.68753089504057</v>
      </c>
      <c r="E17" s="553">
        <v>3</v>
      </c>
      <c r="I17" s="102"/>
      <c r="J17" s="102"/>
    </row>
    <row r="18" spans="2:10" ht="15.6" customHeight="1">
      <c r="B18" s="101" t="s">
        <v>157</v>
      </c>
      <c r="C18" s="542">
        <f>'A. Source Summary'!$P$60</f>
        <v>927.67045262194847</v>
      </c>
      <c r="D18" s="367">
        <f>'A. Source Summary'!$Q$60</f>
        <v>3858.0442908787509</v>
      </c>
      <c r="E18" s="553">
        <v>8651.01</v>
      </c>
      <c r="I18" s="102"/>
      <c r="J18" s="102"/>
    </row>
    <row r="19" spans="2:10" ht="15.6" customHeight="1">
      <c r="B19" s="101" t="s">
        <v>114</v>
      </c>
      <c r="C19" s="542">
        <f>'A. Source Summary'!$R$60</f>
        <v>4386.1069624182473</v>
      </c>
      <c r="D19" s="367">
        <f>'A. Source Summary'!$S$60</f>
        <v>19157.938525947477</v>
      </c>
      <c r="E19" s="553">
        <v>491.93</v>
      </c>
      <c r="I19" s="102"/>
      <c r="J19" s="102"/>
    </row>
    <row r="20" spans="2:10" ht="15.6" customHeight="1">
      <c r="B20" s="101" t="s">
        <v>91</v>
      </c>
      <c r="C20" s="542">
        <f>'A. Source Summary'!$T$60</f>
        <v>0.26906092285348859</v>
      </c>
      <c r="D20" s="367">
        <f>'A. Source Summary'!$U$60</f>
        <v>1.1785345865560239</v>
      </c>
      <c r="E20" s="555" t="s">
        <v>21</v>
      </c>
      <c r="I20" s="102"/>
      <c r="J20" s="102"/>
    </row>
    <row r="21" spans="2:10" ht="15.6" customHeight="1">
      <c r="B21" s="101" t="s">
        <v>427</v>
      </c>
      <c r="C21" s="542">
        <f>'A. Source Summary'!$V$60</f>
        <v>40.447118191912594</v>
      </c>
      <c r="D21" s="367">
        <f>'A. Source Summary'!$W$60</f>
        <v>174.51284400124021</v>
      </c>
      <c r="E21" s="555" t="s">
        <v>21</v>
      </c>
      <c r="I21" s="102"/>
      <c r="J21" s="102"/>
    </row>
    <row r="22" spans="2:10" ht="15.6" customHeight="1">
      <c r="B22" s="101" t="s">
        <v>158</v>
      </c>
      <c r="C22" s="543">
        <f>'A. Source Summary'!$X$60</f>
        <v>2639163.6350842942</v>
      </c>
      <c r="D22" s="368">
        <f>'A. Source Summary'!$Y$60</f>
        <v>11525878.893487854</v>
      </c>
      <c r="E22" s="555" t="s">
        <v>21</v>
      </c>
      <c r="I22" s="102"/>
      <c r="J22" s="102"/>
    </row>
    <row r="23" spans="2:10" ht="6" customHeight="1" thickBot="1">
      <c r="B23" s="103"/>
      <c r="C23" s="544"/>
      <c r="D23" s="166"/>
      <c r="E23" s="554"/>
    </row>
    <row r="25" spans="2:10">
      <c r="B25" s="397" t="s">
        <v>125</v>
      </c>
    </row>
    <row r="26" spans="2:10">
      <c r="B26" s="90" t="s">
        <v>628</v>
      </c>
    </row>
  </sheetData>
  <mergeCells count="2">
    <mergeCell ref="C10:D10"/>
    <mergeCell ref="B10:B11"/>
  </mergeCells>
  <pageMargins left="0.2" right="0.2" top="0.5" bottom="0.5" header="0.05" footer="0.05"/>
  <pageSetup scale="75"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0CBA2-54DA-47AA-A9BF-4B3E879D54C1}">
  <sheetPr>
    <tabColor rgb="FFC00000"/>
  </sheetPr>
  <dimension ref="A1"/>
  <sheetViews>
    <sheetView workbookViewId="0"/>
  </sheetViews>
  <sheetFormatPr defaultRowHeight="1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551AB-A4CC-4CC3-B2FA-565E361B5AC9}">
  <sheetPr>
    <tabColor rgb="FFC00000"/>
  </sheetPr>
  <dimension ref="A1:L39"/>
  <sheetViews>
    <sheetView zoomScaleNormal="100" workbookViewId="0">
      <selection activeCell="D33" sqref="D33"/>
    </sheetView>
  </sheetViews>
  <sheetFormatPr defaultRowHeight="15"/>
  <cols>
    <col min="2" max="2" width="13.5703125" customWidth="1"/>
    <col min="3" max="3" width="13.7109375" customWidth="1"/>
    <col min="4" max="4" width="13" customWidth="1"/>
    <col min="5" max="5" width="15" customWidth="1"/>
    <col min="6" max="6" width="13.7109375" customWidth="1"/>
    <col min="7" max="7" width="13.42578125" customWidth="1"/>
    <col min="8" max="8" width="13.140625" customWidth="1"/>
    <col min="9" max="9" width="13.28515625" customWidth="1"/>
    <col min="10" max="10" width="13" customWidth="1"/>
  </cols>
  <sheetData>
    <row r="1" spans="1:10">
      <c r="A1" s="834" t="s">
        <v>629</v>
      </c>
      <c r="B1" s="834"/>
      <c r="C1" s="834"/>
      <c r="D1" s="834"/>
      <c r="E1" s="834"/>
      <c r="F1" s="834"/>
      <c r="G1" s="834"/>
      <c r="H1" s="834"/>
      <c r="I1" s="834"/>
      <c r="J1" s="834"/>
    </row>
    <row r="2" spans="1:10" ht="15.75" thickBot="1"/>
    <row r="3" spans="1:10">
      <c r="A3" s="556" t="s">
        <v>630</v>
      </c>
      <c r="B3" s="557"/>
      <c r="C3" s="557"/>
      <c r="D3" s="557"/>
      <c r="E3" s="557"/>
      <c r="F3" s="557"/>
      <c r="G3" s="557"/>
      <c r="H3" s="557"/>
      <c r="I3" s="557"/>
      <c r="J3" s="558"/>
    </row>
    <row r="4" spans="1:10">
      <c r="A4" s="559"/>
      <c r="B4" s="829" t="s">
        <v>631</v>
      </c>
      <c r="C4" s="829"/>
      <c r="D4" s="829"/>
      <c r="E4" s="829" t="s">
        <v>114</v>
      </c>
      <c r="F4" s="829"/>
      <c r="G4" s="829"/>
      <c r="H4" s="829" t="s">
        <v>101</v>
      </c>
      <c r="I4" s="829"/>
      <c r="J4" s="560"/>
    </row>
    <row r="5" spans="1:10">
      <c r="A5" s="559"/>
      <c r="B5" s="561" t="s">
        <v>632</v>
      </c>
      <c r="C5" s="561" t="s">
        <v>633</v>
      </c>
      <c r="D5" s="561" t="s">
        <v>634</v>
      </c>
      <c r="E5" s="561" t="s">
        <v>632</v>
      </c>
      <c r="F5" s="561" t="s">
        <v>633</v>
      </c>
      <c r="G5" s="561" t="s">
        <v>634</v>
      </c>
      <c r="H5" s="562" t="s">
        <v>632</v>
      </c>
      <c r="I5" s="562" t="s">
        <v>633</v>
      </c>
      <c r="J5" s="563" t="s">
        <v>634</v>
      </c>
    </row>
    <row r="6" spans="1:10">
      <c r="A6" s="564"/>
      <c r="B6" s="562" t="s">
        <v>635</v>
      </c>
      <c r="C6" s="562" t="s">
        <v>635</v>
      </c>
      <c r="D6" s="562" t="s">
        <v>635</v>
      </c>
      <c r="E6" s="562" t="s">
        <v>635</v>
      </c>
      <c r="F6" s="562" t="s">
        <v>635</v>
      </c>
      <c r="G6" s="562" t="s">
        <v>635</v>
      </c>
      <c r="H6" s="562" t="s">
        <v>635</v>
      </c>
      <c r="I6" s="562" t="s">
        <v>635</v>
      </c>
      <c r="J6" s="563" t="s">
        <v>635</v>
      </c>
    </row>
    <row r="7" spans="1:10">
      <c r="A7" s="565">
        <v>2017</v>
      </c>
      <c r="B7" s="566">
        <v>1.2999999999999999E-3</v>
      </c>
      <c r="C7" s="566">
        <v>2.3E-3</v>
      </c>
      <c r="D7" s="566">
        <v>1.2999999999999999E-3</v>
      </c>
      <c r="E7" s="832" t="s">
        <v>636</v>
      </c>
      <c r="F7" s="829"/>
      <c r="G7" s="829"/>
      <c r="H7" s="829"/>
      <c r="I7" s="829"/>
      <c r="J7" s="831"/>
    </row>
    <row r="8" spans="1:10">
      <c r="A8" s="565">
        <v>2019</v>
      </c>
      <c r="B8" s="566">
        <v>6.9999999999999999E-4</v>
      </c>
      <c r="C8" s="566">
        <v>6.9999999999999999E-4</v>
      </c>
      <c r="D8" s="566">
        <v>2.9999999999999997E-4</v>
      </c>
      <c r="E8" s="566">
        <v>4.0000000000000002E-4</v>
      </c>
      <c r="F8" s="566">
        <v>1.8E-3</v>
      </c>
      <c r="G8" s="566">
        <v>0</v>
      </c>
      <c r="H8" s="566">
        <v>6.9999999999999999E-4</v>
      </c>
      <c r="I8" s="566">
        <v>0</v>
      </c>
      <c r="J8" s="560">
        <v>2.9999999999999997E-4</v>
      </c>
    </row>
    <row r="9" spans="1:10" ht="15.75" thickBot="1">
      <c r="A9" s="567"/>
      <c r="B9" s="568"/>
      <c r="C9" s="568"/>
      <c r="D9" s="568"/>
      <c r="E9" s="568"/>
      <c r="F9" s="568"/>
      <c r="G9" s="568"/>
      <c r="H9" s="568"/>
      <c r="I9" s="568"/>
      <c r="J9" s="569"/>
    </row>
    <row r="12" spans="1:10" ht="15.75" thickBot="1"/>
    <row r="13" spans="1:10">
      <c r="A13" s="556" t="s">
        <v>637</v>
      </c>
      <c r="B13" s="557"/>
      <c r="C13" s="557"/>
      <c r="D13" s="557"/>
      <c r="E13" s="557"/>
      <c r="F13" s="557"/>
      <c r="G13" s="557"/>
      <c r="H13" s="557"/>
      <c r="I13" s="558"/>
    </row>
    <row r="14" spans="1:10">
      <c r="A14" s="559"/>
      <c r="B14" s="829" t="s">
        <v>638</v>
      </c>
      <c r="C14" s="830"/>
      <c r="D14" s="829" t="s">
        <v>134</v>
      </c>
      <c r="E14" s="830"/>
      <c r="F14" s="829" t="s">
        <v>114</v>
      </c>
      <c r="G14" s="830"/>
      <c r="H14" s="829" t="s">
        <v>101</v>
      </c>
      <c r="I14" s="831"/>
      <c r="J14" t="s">
        <v>639</v>
      </c>
    </row>
    <row r="15" spans="1:10">
      <c r="A15" s="564"/>
      <c r="B15" t="s">
        <v>640</v>
      </c>
      <c r="C15" s="566" t="s">
        <v>641</v>
      </c>
      <c r="D15" t="s">
        <v>640</v>
      </c>
      <c r="E15" s="566" t="s">
        <v>641</v>
      </c>
      <c r="F15" t="s">
        <v>640</v>
      </c>
      <c r="G15" s="566" t="s">
        <v>641</v>
      </c>
      <c r="H15" s="566" t="s">
        <v>640</v>
      </c>
      <c r="I15" s="560" t="s">
        <v>641</v>
      </c>
    </row>
    <row r="16" spans="1:10">
      <c r="A16" s="564">
        <v>2016</v>
      </c>
      <c r="B16">
        <v>25.5</v>
      </c>
      <c r="C16" s="570">
        <f>+B16/$J16</f>
        <v>7.5983313468414776E-2</v>
      </c>
      <c r="D16">
        <v>2</v>
      </c>
      <c r="E16" s="570">
        <f>+D16/$J16</f>
        <v>5.9594755661501785E-3</v>
      </c>
      <c r="F16">
        <v>1151.2</v>
      </c>
      <c r="G16" s="570">
        <f>+F16/$J16</f>
        <v>3.4302741358760427</v>
      </c>
      <c r="H16" s="566">
        <v>2.8</v>
      </c>
      <c r="I16" s="571">
        <f>+H16/$J16</f>
        <v>8.343265792610249E-3</v>
      </c>
      <c r="J16">
        <v>335.6</v>
      </c>
    </row>
    <row r="17" spans="1:12">
      <c r="A17" s="564">
        <v>2018</v>
      </c>
      <c r="B17">
        <v>30.96</v>
      </c>
      <c r="C17" s="570">
        <f t="shared" ref="C17:E18" si="0">+B17/$J17</f>
        <v>9.1058823529411761E-2</v>
      </c>
      <c r="D17">
        <v>0.88900000000000001</v>
      </c>
      <c r="E17" s="570">
        <f t="shared" si="0"/>
        <v>2.6147058823529413E-3</v>
      </c>
      <c r="F17" s="736">
        <v>6537.36</v>
      </c>
      <c r="G17" s="737">
        <f t="shared" ref="G17:G18" si="1">+F17/$J17</f>
        <v>19.227529411764706</v>
      </c>
      <c r="H17" s="566">
        <v>1.07</v>
      </c>
      <c r="I17" s="571">
        <f t="shared" ref="I17:I18" si="2">+H17/$J17</f>
        <v>3.1470588235294121E-3</v>
      </c>
      <c r="J17">
        <v>340</v>
      </c>
      <c r="L17" s="738" t="s">
        <v>792</v>
      </c>
    </row>
    <row r="18" spans="1:12">
      <c r="A18" s="564">
        <v>2020</v>
      </c>
      <c r="B18">
        <v>17.91</v>
      </c>
      <c r="C18" s="570">
        <f t="shared" si="0"/>
        <v>6.6728763040238462E-2</v>
      </c>
      <c r="D18">
        <v>0</v>
      </c>
      <c r="E18" s="570">
        <f t="shared" si="0"/>
        <v>0</v>
      </c>
      <c r="F18">
        <v>1518.53</v>
      </c>
      <c r="G18" s="570">
        <f t="shared" si="1"/>
        <v>5.6577123695976157</v>
      </c>
      <c r="H18" s="566">
        <v>2.1800000000000002</v>
      </c>
      <c r="I18" s="571">
        <f t="shared" si="2"/>
        <v>8.1222056631892713E-3</v>
      </c>
      <c r="J18">
        <v>268.39999999999998</v>
      </c>
    </row>
    <row r="19" spans="1:12" ht="15.75" thickBot="1">
      <c r="A19" s="567"/>
      <c r="B19" s="572"/>
      <c r="C19" s="568"/>
      <c r="D19" s="572"/>
      <c r="E19" s="568"/>
      <c r="F19" s="739">
        <f>MAX(F16,F18)</f>
        <v>1518.53</v>
      </c>
      <c r="G19" s="740">
        <f>MAX(G16,G18)</f>
        <v>5.6577123695976157</v>
      </c>
      <c r="H19" s="568"/>
      <c r="I19" s="569"/>
    </row>
    <row r="20" spans="1:12" ht="15.75" thickBot="1"/>
    <row r="21" spans="1:12">
      <c r="A21" s="556" t="s">
        <v>642</v>
      </c>
      <c r="B21" s="557"/>
      <c r="C21" s="557"/>
      <c r="D21" s="557"/>
      <c r="E21" s="557"/>
      <c r="F21" s="557"/>
      <c r="G21" s="557"/>
      <c r="H21" s="557"/>
      <c r="I21" s="558"/>
    </row>
    <row r="22" spans="1:12">
      <c r="A22" s="564"/>
      <c r="B22" s="562" t="s">
        <v>643</v>
      </c>
      <c r="C22" s="562" t="s">
        <v>644</v>
      </c>
      <c r="D22" s="562" t="s">
        <v>643</v>
      </c>
      <c r="E22" s="562" t="s">
        <v>644</v>
      </c>
      <c r="F22" s="562" t="s">
        <v>643</v>
      </c>
      <c r="G22" s="573" t="s">
        <v>644</v>
      </c>
      <c r="H22" s="573" t="s">
        <v>643</v>
      </c>
      <c r="I22" s="563" t="s">
        <v>644</v>
      </c>
    </row>
    <row r="23" spans="1:12">
      <c r="A23" s="564"/>
      <c r="B23" s="562" t="s">
        <v>635</v>
      </c>
      <c r="C23" s="562" t="s">
        <v>635</v>
      </c>
      <c r="D23" s="562" t="s">
        <v>635</v>
      </c>
      <c r="E23" s="562" t="s">
        <v>635</v>
      </c>
      <c r="F23" s="562" t="s">
        <v>635</v>
      </c>
      <c r="G23" s="562" t="s">
        <v>635</v>
      </c>
      <c r="H23" s="562" t="s">
        <v>635</v>
      </c>
      <c r="I23" s="563" t="s">
        <v>635</v>
      </c>
    </row>
    <row r="24" spans="1:12">
      <c r="A24" s="564"/>
      <c r="B24" s="832" t="s">
        <v>631</v>
      </c>
      <c r="C24" s="830"/>
      <c r="D24" s="832" t="s">
        <v>638</v>
      </c>
      <c r="E24" s="830"/>
      <c r="F24" s="832" t="s">
        <v>114</v>
      </c>
      <c r="G24" s="830"/>
      <c r="H24" s="832" t="s">
        <v>101</v>
      </c>
      <c r="I24" s="831"/>
    </row>
    <row r="25" spans="1:12">
      <c r="A25" s="565">
        <v>2016</v>
      </c>
      <c r="B25" s="566">
        <v>8.0000000000000004E-4</v>
      </c>
      <c r="C25" s="562" t="s">
        <v>645</v>
      </c>
      <c r="D25" s="566">
        <v>5.7000000000000002E-3</v>
      </c>
      <c r="E25" s="562" t="s">
        <v>645</v>
      </c>
      <c r="F25" s="566">
        <v>6.06</v>
      </c>
      <c r="G25" s="562" t="s">
        <v>645</v>
      </c>
      <c r="H25" s="566">
        <v>5.0000000000000001E-4</v>
      </c>
      <c r="I25" s="563" t="s">
        <v>645</v>
      </c>
      <c r="K25" s="738" t="s">
        <v>793</v>
      </c>
    </row>
    <row r="26" spans="1:12">
      <c r="A26" s="565">
        <v>2018</v>
      </c>
      <c r="B26" s="566">
        <v>1.1000000000000001E-3</v>
      </c>
      <c r="C26" s="566">
        <v>4.0000000000000002E-4</v>
      </c>
      <c r="D26" s="566">
        <v>1.15E-2</v>
      </c>
      <c r="E26" s="566">
        <v>1.95E-2</v>
      </c>
      <c r="F26" s="566">
        <v>0.51619999999999999</v>
      </c>
      <c r="G26" s="566">
        <v>0.55420000000000003</v>
      </c>
      <c r="H26" s="566">
        <v>8.9999999999999998E-4</v>
      </c>
      <c r="I26" s="560">
        <v>0</v>
      </c>
      <c r="K26" s="738"/>
    </row>
    <row r="27" spans="1:12">
      <c r="A27" s="565">
        <v>2020</v>
      </c>
      <c r="B27" s="566">
        <v>1.2999999999999999E-3</v>
      </c>
      <c r="C27" s="566">
        <v>1.1999999999999999E-3</v>
      </c>
      <c r="D27" s="566">
        <v>1.24E-2</v>
      </c>
      <c r="E27" s="566">
        <v>2.6200000000000001E-2</v>
      </c>
      <c r="F27" s="566">
        <v>1.1125</v>
      </c>
      <c r="G27" s="566">
        <v>1.143</v>
      </c>
      <c r="H27" s="566">
        <v>5.7000000000000002E-3</v>
      </c>
      <c r="I27" s="560">
        <v>2.8400000000000001E-3</v>
      </c>
      <c r="K27" s="769"/>
    </row>
    <row r="28" spans="1:12" ht="15.75" thickBot="1">
      <c r="A28" s="567"/>
      <c r="B28" s="568"/>
      <c r="C28" s="568"/>
      <c r="D28" s="568"/>
      <c r="E28" s="568"/>
      <c r="F28" s="733">
        <f>MAX(F26:F27)</f>
        <v>1.1125</v>
      </c>
      <c r="G28" s="733">
        <f>MAX(G26:G27)</f>
        <v>1.143</v>
      </c>
      <c r="H28" s="568"/>
      <c r="I28" s="569"/>
    </row>
    <row r="29" spans="1:12" ht="15.75" thickBot="1"/>
    <row r="30" spans="1:12">
      <c r="A30" s="556" t="s">
        <v>176</v>
      </c>
      <c r="B30" s="557"/>
      <c r="C30" s="557"/>
      <c r="D30" s="557"/>
      <c r="E30" s="557"/>
      <c r="F30" s="557"/>
      <c r="G30" s="557"/>
      <c r="H30" s="557"/>
      <c r="I30" s="558"/>
    </row>
    <row r="31" spans="1:12">
      <c r="A31" s="559"/>
      <c r="B31" s="829" t="s">
        <v>631</v>
      </c>
      <c r="C31" s="830"/>
      <c r="D31" s="829" t="s">
        <v>646</v>
      </c>
      <c r="E31" s="830"/>
      <c r="F31" s="832" t="s">
        <v>657</v>
      </c>
      <c r="G31" s="833"/>
      <c r="H31" s="829" t="s">
        <v>114</v>
      </c>
      <c r="I31" s="830"/>
      <c r="J31" s="829" t="s">
        <v>101</v>
      </c>
      <c r="K31" s="831"/>
      <c r="L31" t="s">
        <v>639</v>
      </c>
    </row>
    <row r="32" spans="1:12">
      <c r="A32" s="565"/>
      <c r="B32" t="s">
        <v>640</v>
      </c>
      <c r="C32" s="566" t="s">
        <v>641</v>
      </c>
      <c r="D32" t="s">
        <v>640</v>
      </c>
      <c r="E32" s="566" t="s">
        <v>641</v>
      </c>
      <c r="F32" s="590" t="s">
        <v>640</v>
      </c>
      <c r="G32" s="591" t="s">
        <v>641</v>
      </c>
      <c r="H32" s="574" t="s">
        <v>640</v>
      </c>
      <c r="I32" s="566" t="s">
        <v>641</v>
      </c>
      <c r="J32" s="574" t="s">
        <v>640</v>
      </c>
      <c r="K32" s="560" t="s">
        <v>641</v>
      </c>
    </row>
    <row r="33" spans="1:12">
      <c r="A33" s="565">
        <v>2018</v>
      </c>
      <c r="B33">
        <v>0.254</v>
      </c>
      <c r="C33" s="570">
        <f>+B33/$L33</f>
        <v>7.4399531341534859E-4</v>
      </c>
      <c r="D33">
        <v>1.27</v>
      </c>
      <c r="E33" s="570">
        <f>+D33/$L33</f>
        <v>3.719976567076743E-3</v>
      </c>
      <c r="F33" s="592">
        <v>1.29</v>
      </c>
      <c r="G33" s="592">
        <v>3.7785588752196841E-3</v>
      </c>
      <c r="H33" s="574">
        <v>117.31</v>
      </c>
      <c r="I33" s="570">
        <f>+H33/$L33</f>
        <v>0.34361452841241946</v>
      </c>
      <c r="J33" s="566">
        <v>5</v>
      </c>
      <c r="K33" s="571">
        <f>+J33/$L33</f>
        <v>1.4645577035735208E-2</v>
      </c>
      <c r="L33">
        <v>341.4</v>
      </c>
    </row>
    <row r="34" spans="1:12">
      <c r="A34" s="565">
        <v>2020</v>
      </c>
      <c r="B34">
        <v>0.48199999999999998</v>
      </c>
      <c r="C34" s="570">
        <f>+B34/$L34</f>
        <v>2.0158929318276871E-3</v>
      </c>
      <c r="D34">
        <v>0.91</v>
      </c>
      <c r="E34" s="570">
        <f>+D34/$L34</f>
        <v>3.8059389376829782E-3</v>
      </c>
      <c r="F34" s="592">
        <v>1.91</v>
      </c>
      <c r="G34" s="592">
        <v>7.988289418653283E-3</v>
      </c>
      <c r="H34" s="574">
        <v>184.66</v>
      </c>
      <c r="I34" s="570">
        <f t="shared" ref="I34" si="3">+H34/$L34</f>
        <v>0.77231283981597654</v>
      </c>
      <c r="J34" s="566">
        <v>0</v>
      </c>
      <c r="K34" s="571">
        <f t="shared" ref="K34" si="4">+J34/$L34</f>
        <v>0</v>
      </c>
      <c r="L34">
        <v>239.1</v>
      </c>
    </row>
    <row r="35" spans="1:12">
      <c r="A35" s="564"/>
      <c r="C35" s="570"/>
      <c r="E35" s="566"/>
      <c r="F35" s="566"/>
      <c r="G35" s="566"/>
      <c r="H35" s="574"/>
      <c r="I35" s="566"/>
      <c r="J35" s="566"/>
      <c r="K35" s="560"/>
    </row>
    <row r="36" spans="1:12" ht="15.75" thickBot="1">
      <c r="A36" s="567"/>
      <c r="B36" s="572"/>
      <c r="C36" s="568"/>
      <c r="D36" s="572"/>
      <c r="E36" s="568"/>
      <c r="F36" s="568"/>
      <c r="G36" s="568"/>
      <c r="H36" s="575"/>
      <c r="I36" s="568"/>
      <c r="J36" s="568"/>
      <c r="K36" s="569"/>
    </row>
    <row r="38" spans="1:12">
      <c r="A38" t="s">
        <v>647</v>
      </c>
    </row>
    <row r="39" spans="1:12">
      <c r="A39" t="s">
        <v>648</v>
      </c>
    </row>
  </sheetData>
  <mergeCells count="18">
    <mergeCell ref="B14:C14"/>
    <mergeCell ref="D14:E14"/>
    <mergeCell ref="F14:G14"/>
    <mergeCell ref="H14:I14"/>
    <mergeCell ref="B24:C24"/>
    <mergeCell ref="D24:E24"/>
    <mergeCell ref="F24:G24"/>
    <mergeCell ref="H24:I24"/>
    <mergeCell ref="A1:J1"/>
    <mergeCell ref="B4:D4"/>
    <mergeCell ref="E4:G4"/>
    <mergeCell ref="H4:I4"/>
    <mergeCell ref="E7:J7"/>
    <mergeCell ref="B31:C31"/>
    <mergeCell ref="D31:E31"/>
    <mergeCell ref="H31:I31"/>
    <mergeCell ref="J31:K31"/>
    <mergeCell ref="F31:G31"/>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60"/>
  <sheetViews>
    <sheetView topLeftCell="B16" zoomScale="130" zoomScaleNormal="130" zoomScaleSheetLayoutView="120" workbookViewId="0">
      <selection activeCell="D33" sqref="D33"/>
    </sheetView>
  </sheetViews>
  <sheetFormatPr defaultColWidth="9.140625" defaultRowHeight="12.75"/>
  <cols>
    <col min="1" max="1" width="2.42578125" style="1" customWidth="1"/>
    <col min="2" max="2" width="39.85546875" style="1" customWidth="1"/>
    <col min="3" max="4" width="11.7109375" style="1" customWidth="1"/>
    <col min="5" max="5" width="10.42578125" style="1" customWidth="1"/>
    <col min="6" max="6" width="10.28515625" style="1" bestFit="1" customWidth="1"/>
    <col min="7" max="7" width="59.42578125" style="2" bestFit="1" customWidth="1"/>
    <col min="8" max="8" width="9.140625" style="1"/>
    <col min="9" max="11" width="9.140625" style="304"/>
    <col min="12" max="16384" width="9.140625" style="1"/>
  </cols>
  <sheetData>
    <row r="1" spans="2:11" ht="11.25" customHeight="1"/>
    <row r="2" spans="2:11" s="6" customFormat="1">
      <c r="B2" s="5" t="str">
        <f>'Key Inputs'!B2</f>
        <v>Company Name:</v>
      </c>
      <c r="C2" s="279" t="str">
        <f>'Key Inputs'!C2</f>
        <v>U. S. Steel Corp.</v>
      </c>
      <c r="F2" s="5"/>
      <c r="G2" s="7"/>
      <c r="I2" s="305"/>
      <c r="J2" s="305"/>
      <c r="K2" s="305"/>
    </row>
    <row r="3" spans="2:11" s="6" customFormat="1">
      <c r="B3" s="5" t="str">
        <f>'Key Inputs'!B3</f>
        <v>Site Name:</v>
      </c>
      <c r="C3" s="279" t="str">
        <f>'Key Inputs'!C3</f>
        <v>Edgar Thomson Plant</v>
      </c>
      <c r="F3" s="5"/>
      <c r="G3" s="7"/>
      <c r="I3" s="305"/>
      <c r="J3" s="305"/>
      <c r="K3" s="305"/>
    </row>
    <row r="4" spans="2:11" s="6" customFormat="1">
      <c r="B4" s="5" t="str">
        <f>'Key Inputs'!B4</f>
        <v>Description:</v>
      </c>
      <c r="C4" s="279" t="str">
        <f>'Key Inputs'!C4</f>
        <v>Title V Permit Renewal</v>
      </c>
      <c r="F4" s="5"/>
      <c r="G4" s="7"/>
      <c r="I4" s="305"/>
      <c r="J4" s="305"/>
      <c r="K4" s="305"/>
    </row>
    <row r="5" spans="2:11" s="6" customFormat="1">
      <c r="B5" s="5" t="str">
        <f>'Key Inputs'!B5</f>
        <v>Date:</v>
      </c>
      <c r="C5" s="281" t="str">
        <f>'Key Inputs'!C5</f>
        <v>10/7/2020 - DRAFT</v>
      </c>
      <c r="F5" s="5"/>
      <c r="G5" s="7"/>
      <c r="I5" s="305"/>
      <c r="J5" s="305"/>
      <c r="K5" s="305"/>
    </row>
    <row r="6" spans="2:11" s="6" customFormat="1">
      <c r="B6" s="5"/>
      <c r="C6" s="5"/>
      <c r="D6" s="5"/>
      <c r="F6" s="5"/>
      <c r="G6" s="7"/>
      <c r="I6" s="305"/>
      <c r="J6" s="305"/>
      <c r="K6" s="305"/>
    </row>
    <row r="7" spans="2:11" s="11" customFormat="1">
      <c r="B7" s="10" t="s">
        <v>275</v>
      </c>
      <c r="C7" s="10"/>
      <c r="D7" s="10"/>
      <c r="F7" s="10"/>
      <c r="G7" s="12"/>
      <c r="I7" s="306"/>
      <c r="J7" s="306"/>
      <c r="K7" s="306"/>
    </row>
    <row r="8" spans="2:11" s="16" customFormat="1">
      <c r="B8" s="14"/>
      <c r="C8" s="15"/>
      <c r="G8" s="17"/>
      <c r="I8" s="304"/>
      <c r="J8" s="304"/>
      <c r="K8" s="304"/>
    </row>
    <row r="9" spans="2:11" s="18" customFormat="1">
      <c r="B9" s="19" t="s">
        <v>25</v>
      </c>
      <c r="C9" s="20" t="s">
        <v>179</v>
      </c>
      <c r="D9" s="19"/>
      <c r="G9" s="21"/>
      <c r="I9" s="307"/>
      <c r="J9" s="307"/>
      <c r="K9" s="307"/>
    </row>
    <row r="10" spans="2:11" s="18" customFormat="1">
      <c r="B10" s="19" t="s">
        <v>56</v>
      </c>
      <c r="C10" s="23" t="s">
        <v>178</v>
      </c>
      <c r="D10" s="19"/>
      <c r="G10" s="21"/>
      <c r="I10" s="307"/>
      <c r="J10" s="307"/>
      <c r="K10" s="307"/>
    </row>
    <row r="11" spans="2:11" s="18" customFormat="1">
      <c r="B11" s="19" t="s">
        <v>291</v>
      </c>
      <c r="C11" s="23" t="s">
        <v>293</v>
      </c>
      <c r="D11" s="19"/>
      <c r="G11" s="21"/>
      <c r="I11" s="307"/>
      <c r="J11" s="307"/>
      <c r="K11" s="307"/>
    </row>
    <row r="12" spans="2:11" s="18" customFormat="1">
      <c r="B12" s="19" t="s">
        <v>26</v>
      </c>
      <c r="C12" s="24">
        <f>'Key Inputs'!$G$20</f>
        <v>8760</v>
      </c>
      <c r="D12" s="21" t="s">
        <v>10</v>
      </c>
      <c r="G12" s="20"/>
      <c r="I12" s="307"/>
      <c r="J12" s="307"/>
      <c r="K12" s="307"/>
    </row>
    <row r="13" spans="2:11" s="18" customFormat="1">
      <c r="B13" s="19" t="s">
        <v>14</v>
      </c>
      <c r="C13" s="79" t="s">
        <v>27</v>
      </c>
      <c r="D13" s="21"/>
      <c r="G13" s="20"/>
      <c r="I13" s="307"/>
      <c r="J13" s="307"/>
      <c r="K13" s="307"/>
    </row>
    <row r="14" spans="2:11" s="18" customFormat="1">
      <c r="B14" s="19" t="s">
        <v>277</v>
      </c>
      <c r="C14" s="79">
        <v>495</v>
      </c>
      <c r="D14" s="21" t="s">
        <v>100</v>
      </c>
      <c r="G14" s="20"/>
      <c r="I14" s="307"/>
      <c r="J14" s="307"/>
      <c r="K14" s="307"/>
    </row>
    <row r="15" spans="2:11" s="18" customFormat="1">
      <c r="B15" s="19" t="s">
        <v>252</v>
      </c>
      <c r="C15" s="184">
        <f>$C$14/'Key Inputs'!D43*$C$12</f>
        <v>4094.6175637393767</v>
      </c>
      <c r="D15" s="21" t="s">
        <v>31</v>
      </c>
      <c r="G15" s="20"/>
      <c r="I15" s="307" t="s">
        <v>255</v>
      </c>
      <c r="J15" s="307"/>
      <c r="K15" s="307"/>
    </row>
    <row r="16" spans="2:11" s="18" customFormat="1">
      <c r="B16" s="19" t="s">
        <v>253</v>
      </c>
      <c r="C16" s="184">
        <f>$C$14/'Key Inputs'!D45*$C$12</f>
        <v>8398.6054619407332</v>
      </c>
      <c r="D16" s="21" t="s">
        <v>31</v>
      </c>
      <c r="G16" s="20"/>
      <c r="I16" s="307" t="s">
        <v>255</v>
      </c>
      <c r="J16" s="307"/>
      <c r="K16" s="307"/>
    </row>
    <row r="17" spans="2:12" s="18" customFormat="1">
      <c r="B17" s="19" t="s">
        <v>276</v>
      </c>
      <c r="C17" s="184">
        <f>$C$14/'Key Inputs'!D44*$C$12</f>
        <v>48180</v>
      </c>
      <c r="D17" s="21" t="s">
        <v>31</v>
      </c>
      <c r="G17" s="20"/>
      <c r="I17" s="307" t="s">
        <v>255</v>
      </c>
      <c r="J17" s="307"/>
      <c r="K17" s="307"/>
    </row>
    <row r="18" spans="2:12" s="18" customFormat="1">
      <c r="B18" s="19"/>
      <c r="C18" s="184"/>
      <c r="D18" s="21"/>
      <c r="G18" s="20"/>
      <c r="I18" s="307"/>
      <c r="J18" s="307"/>
      <c r="K18" s="307"/>
    </row>
    <row r="19" spans="2:12" s="11" customFormat="1">
      <c r="B19" s="329" t="s">
        <v>653</v>
      </c>
      <c r="C19" s="329"/>
      <c r="D19" s="329"/>
      <c r="E19" s="330"/>
      <c r="F19" s="329"/>
      <c r="G19" s="331"/>
      <c r="I19" s="306"/>
      <c r="J19" s="306"/>
      <c r="K19" s="306"/>
    </row>
    <row r="20" spans="2:12" s="18" customFormat="1" ht="6" customHeight="1" thickBot="1">
      <c r="D20" s="27"/>
      <c r="E20" s="25"/>
      <c r="F20" s="25"/>
      <c r="G20" s="21"/>
      <c r="I20" s="307"/>
      <c r="J20" s="307"/>
      <c r="K20" s="307"/>
    </row>
    <row r="21" spans="2:12" s="18" customFormat="1" ht="6" customHeight="1">
      <c r="B21" s="28"/>
      <c r="C21" s="29"/>
      <c r="D21" s="30"/>
      <c r="E21" s="31"/>
      <c r="F21" s="31"/>
      <c r="G21" s="298"/>
      <c r="I21" s="307"/>
      <c r="J21" s="307"/>
      <c r="K21" s="307"/>
    </row>
    <row r="22" spans="2:12" s="37" customFormat="1" ht="38.25">
      <c r="B22" s="33" t="s">
        <v>32</v>
      </c>
      <c r="C22" s="34" t="s">
        <v>140</v>
      </c>
      <c r="D22" s="34" t="s">
        <v>141</v>
      </c>
      <c r="E22" s="34" t="s">
        <v>139</v>
      </c>
      <c r="F22" s="34" t="s">
        <v>35</v>
      </c>
      <c r="G22" s="35" t="s">
        <v>36</v>
      </c>
      <c r="I22" s="787"/>
      <c r="J22" s="787"/>
      <c r="K22" s="787"/>
    </row>
    <row r="23" spans="2:12" s="18" customFormat="1" ht="6" customHeight="1" thickBot="1">
      <c r="B23" s="38"/>
      <c r="C23" s="39"/>
      <c r="D23" s="40"/>
      <c r="E23" s="41"/>
      <c r="F23" s="41"/>
      <c r="G23" s="299"/>
      <c r="I23" s="307"/>
      <c r="J23" s="307"/>
      <c r="K23" s="307"/>
    </row>
    <row r="24" spans="2:12" s="18" customFormat="1" ht="6" customHeight="1">
      <c r="B24" s="28"/>
      <c r="C24" s="29"/>
      <c r="D24" s="30"/>
      <c r="E24" s="31"/>
      <c r="F24" s="31"/>
      <c r="G24" s="298"/>
      <c r="I24" s="307"/>
      <c r="J24" s="307"/>
      <c r="K24" s="307"/>
    </row>
    <row r="25" spans="2:12" s="16" customFormat="1">
      <c r="B25" s="43" t="s">
        <v>37</v>
      </c>
      <c r="C25" s="44"/>
      <c r="D25" s="45"/>
      <c r="E25" s="46"/>
      <c r="F25" s="46"/>
      <c r="G25" s="300"/>
      <c r="I25" s="309"/>
      <c r="J25" s="309"/>
      <c r="K25" s="309"/>
    </row>
    <row r="26" spans="2:12" s="16" customFormat="1">
      <c r="B26" s="48" t="s">
        <v>228</v>
      </c>
      <c r="C26" s="49">
        <v>24.75</v>
      </c>
      <c r="D26" s="50">
        <v>108.41</v>
      </c>
      <c r="E26" s="577" t="s">
        <v>21</v>
      </c>
      <c r="F26" s="578" t="s">
        <v>21</v>
      </c>
      <c r="G26" s="301" t="s">
        <v>654</v>
      </c>
      <c r="I26" s="310"/>
      <c r="J26" s="310"/>
      <c r="K26" s="310"/>
    </row>
    <row r="27" spans="2:12" s="16" customFormat="1" ht="14.25">
      <c r="B27" s="48" t="s">
        <v>229</v>
      </c>
      <c r="C27" s="49">
        <v>24.75</v>
      </c>
      <c r="D27" s="50">
        <v>108.41</v>
      </c>
      <c r="E27" s="577" t="s">
        <v>21</v>
      </c>
      <c r="F27" s="578" t="s">
        <v>21</v>
      </c>
      <c r="G27" s="301" t="s">
        <v>654</v>
      </c>
      <c r="I27" s="304"/>
      <c r="J27" s="304"/>
      <c r="K27" s="304"/>
    </row>
    <row r="28" spans="2:12" s="16" customFormat="1" ht="14.25">
      <c r="B28" s="48" t="s">
        <v>230</v>
      </c>
      <c r="C28" s="49">
        <v>24.75</v>
      </c>
      <c r="D28" s="50">
        <v>108.41</v>
      </c>
      <c r="E28" s="577" t="s">
        <v>21</v>
      </c>
      <c r="F28" s="578" t="s">
        <v>21</v>
      </c>
      <c r="G28" s="301" t="s">
        <v>654</v>
      </c>
      <c r="I28" s="304"/>
      <c r="J28" s="304"/>
      <c r="K28" s="304"/>
    </row>
    <row r="29" spans="2:12" s="160" customFormat="1" ht="15" customHeight="1">
      <c r="B29" s="48" t="s">
        <v>227</v>
      </c>
      <c r="C29" s="49">
        <f>E29</f>
        <v>3.2510499999999998</v>
      </c>
      <c r="D29" s="50">
        <f>C29*C12/2000</f>
        <v>14.239598999999998</v>
      </c>
      <c r="E29" s="163">
        <f>2.827*1.15</f>
        <v>3.2510499999999998</v>
      </c>
      <c r="F29" s="52" t="s">
        <v>115</v>
      </c>
      <c r="G29" s="314" t="s">
        <v>801</v>
      </c>
      <c r="H29" s="734" t="s">
        <v>790</v>
      </c>
      <c r="I29" s="310"/>
      <c r="J29" s="310"/>
      <c r="K29" s="310"/>
      <c r="L29" s="310"/>
    </row>
    <row r="30" spans="2:12" s="16" customFormat="1" ht="14.25">
      <c r="B30" s="48" t="s">
        <v>148</v>
      </c>
      <c r="C30" s="49">
        <f>E30*$C$14</f>
        <v>7.0586999999999991</v>
      </c>
      <c r="D30" s="50">
        <f>C30*$C$12/2000</f>
        <v>30.917105999999997</v>
      </c>
      <c r="E30" s="80">
        <f>MAX('EF Dev Tests'!D25:D27)*1.15</f>
        <v>1.4259999999999998E-2</v>
      </c>
      <c r="F30" s="52" t="s">
        <v>45</v>
      </c>
      <c r="G30" s="301" t="s">
        <v>800</v>
      </c>
      <c r="I30" s="304"/>
      <c r="J30" s="304"/>
      <c r="K30" s="304"/>
    </row>
    <row r="31" spans="2:12" s="16" customFormat="1">
      <c r="B31" s="48" t="s">
        <v>65</v>
      </c>
      <c r="C31" s="49">
        <f>E31*$C$14</f>
        <v>3.2447249999999999</v>
      </c>
      <c r="D31" s="50">
        <f>C31*$C$12/2000</f>
        <v>14.211895499999999</v>
      </c>
      <c r="E31" s="80">
        <f>MAX('EF Dev Tests'!H25:H27)*1.15</f>
        <v>6.5550000000000001E-3</v>
      </c>
      <c r="F31" s="52" t="s">
        <v>45</v>
      </c>
      <c r="G31" s="301" t="s">
        <v>800</v>
      </c>
      <c r="I31" s="304"/>
      <c r="J31" s="304"/>
      <c r="K31" s="304"/>
    </row>
    <row r="32" spans="2:12" s="16" customFormat="1" ht="14.25">
      <c r="B32" s="48" t="s">
        <v>149</v>
      </c>
      <c r="C32" s="49">
        <v>98.5</v>
      </c>
      <c r="D32" s="50">
        <f>C32*C12/2000</f>
        <v>431.43</v>
      </c>
      <c r="E32" s="577" t="s">
        <v>21</v>
      </c>
      <c r="F32" s="578" t="s">
        <v>21</v>
      </c>
      <c r="G32" s="301" t="s">
        <v>748</v>
      </c>
      <c r="I32" s="304"/>
      <c r="J32" s="304"/>
      <c r="K32" s="304"/>
    </row>
    <row r="33" spans="2:11" s="16" customFormat="1">
      <c r="B33" s="48" t="s">
        <v>40</v>
      </c>
      <c r="C33" s="49">
        <f>E33*$C$14</f>
        <v>650.65274999999997</v>
      </c>
      <c r="D33" s="50">
        <f>C33*$C$12/2000</f>
        <v>2849.8590450000002</v>
      </c>
      <c r="E33" s="51">
        <f>MAX('EF Dev Tests'!F26:G27)*1.15</f>
        <v>1.3144499999999999</v>
      </c>
      <c r="F33" s="52" t="s">
        <v>45</v>
      </c>
      <c r="G33" s="301" t="s">
        <v>800</v>
      </c>
      <c r="H33" s="734" t="s">
        <v>790</v>
      </c>
      <c r="I33" s="304"/>
      <c r="J33" s="304"/>
      <c r="K33" s="304"/>
    </row>
    <row r="34" spans="2:11" s="160" customFormat="1" ht="15" customHeight="1">
      <c r="B34" s="48" t="s">
        <v>267</v>
      </c>
      <c r="C34" s="49">
        <f>E34*$C$14</f>
        <v>0.74002499999999993</v>
      </c>
      <c r="D34" s="50">
        <f>C34*$C$12/2000</f>
        <v>3.2413094999999998</v>
      </c>
      <c r="E34" s="163">
        <f>MAX('EF Dev Tests'!B25:B27)*1.15</f>
        <v>1.4949999999999998E-3</v>
      </c>
      <c r="F34" s="52" t="s">
        <v>45</v>
      </c>
      <c r="G34" s="301" t="s">
        <v>800</v>
      </c>
      <c r="I34" s="310"/>
      <c r="J34" s="310"/>
      <c r="K34" s="310"/>
    </row>
    <row r="35" spans="2:11" s="16" customFormat="1">
      <c r="B35" s="48"/>
      <c r="C35" s="49"/>
      <c r="D35" s="50"/>
      <c r="E35" s="579"/>
      <c r="F35" s="52"/>
      <c r="G35" s="301"/>
      <c r="I35" s="304"/>
      <c r="J35" s="304"/>
      <c r="K35" s="304"/>
    </row>
    <row r="36" spans="2:11" s="16" customFormat="1">
      <c r="B36" s="43" t="s">
        <v>41</v>
      </c>
      <c r="C36" s="44"/>
      <c r="D36" s="54"/>
      <c r="E36" s="56"/>
      <c r="F36" s="57"/>
      <c r="G36" s="300"/>
      <c r="I36" s="304"/>
      <c r="J36" s="304"/>
      <c r="K36" s="304"/>
    </row>
    <row r="37" spans="2:11" s="16" customFormat="1">
      <c r="B37" s="58" t="s">
        <v>42</v>
      </c>
      <c r="C37" s="59"/>
      <c r="D37" s="54"/>
      <c r="E37" s="50"/>
      <c r="F37" s="60"/>
      <c r="G37" s="300"/>
      <c r="I37" s="304"/>
      <c r="J37" s="304"/>
      <c r="K37" s="304"/>
    </row>
    <row r="38" spans="2:11" s="16" customFormat="1">
      <c r="B38" s="61" t="s">
        <v>80</v>
      </c>
      <c r="C38" s="49">
        <f t="shared" ref="C38" si="0">D38/$C$12*2000</f>
        <v>0.96756373937677043</v>
      </c>
      <c r="D38" s="50">
        <f t="shared" ref="D38" si="1">E38*$C$15/2000</f>
        <v>4.2379291784702549</v>
      </c>
      <c r="E38" s="80">
        <f>E82</f>
        <v>2.0699999999999998</v>
      </c>
      <c r="F38" s="46" t="s">
        <v>39</v>
      </c>
      <c r="G38" s="300" t="s">
        <v>656</v>
      </c>
      <c r="I38" s="304"/>
      <c r="J38" s="304"/>
      <c r="K38" s="304"/>
    </row>
    <row r="39" spans="2:11" s="16" customFormat="1">
      <c r="B39" s="58"/>
      <c r="C39" s="64"/>
      <c r="D39" s="65"/>
      <c r="E39" s="50"/>
      <c r="F39" s="60"/>
      <c r="G39" s="300"/>
      <c r="I39" s="304"/>
      <c r="J39" s="304"/>
      <c r="K39" s="304"/>
    </row>
    <row r="40" spans="2:11" s="16" customFormat="1">
      <c r="B40" s="58" t="s">
        <v>261</v>
      </c>
      <c r="C40" s="64"/>
      <c r="D40" s="65"/>
      <c r="E40" s="50"/>
      <c r="F40" s="60"/>
      <c r="G40" s="300"/>
      <c r="I40" s="304"/>
      <c r="J40" s="304"/>
      <c r="K40" s="304"/>
    </row>
    <row r="41" spans="2:11" s="16" customFormat="1">
      <c r="B41" s="61" t="s">
        <v>267</v>
      </c>
      <c r="C41" s="49">
        <f t="shared" ref="C41:C43" si="2">D41/$C$12*2000</f>
        <v>4.3718768158047654</v>
      </c>
      <c r="D41" s="89">
        <f>E41*$C$16/2000</f>
        <v>19.148820453224872</v>
      </c>
      <c r="E41" s="89">
        <v>4.5599999999999996</v>
      </c>
      <c r="F41" s="46" t="s">
        <v>39</v>
      </c>
      <c r="G41" s="300" t="s">
        <v>656</v>
      </c>
      <c r="I41" s="304"/>
      <c r="J41" s="304"/>
      <c r="K41" s="304"/>
    </row>
    <row r="42" spans="2:11" s="16" customFormat="1" ht="14.25">
      <c r="B42" s="61" t="s">
        <v>268</v>
      </c>
      <c r="C42" s="62">
        <f t="shared" si="2"/>
        <v>3.1638582219639749E-2</v>
      </c>
      <c r="D42" s="63">
        <f>E42*$C$16/2000</f>
        <v>0.1385769901220221</v>
      </c>
      <c r="E42" s="63">
        <v>3.3000000000000002E-2</v>
      </c>
      <c r="F42" s="46" t="s">
        <v>39</v>
      </c>
      <c r="G42" s="300" t="s">
        <v>656</v>
      </c>
      <c r="I42" s="304"/>
      <c r="J42" s="304"/>
      <c r="K42" s="304"/>
    </row>
    <row r="43" spans="2:11" s="16" customFormat="1">
      <c r="B43" s="61" t="s">
        <v>262</v>
      </c>
      <c r="C43" s="62">
        <f t="shared" si="2"/>
        <v>6.2318419523532835E-2</v>
      </c>
      <c r="D43" s="63">
        <f t="shared" ref="D43" si="3">E43*$C$16/2000</f>
        <v>0.27295467751307384</v>
      </c>
      <c r="E43" s="63">
        <v>6.5000000000000002E-2</v>
      </c>
      <c r="F43" s="46" t="s">
        <v>39</v>
      </c>
      <c r="G43" s="300" t="s">
        <v>656</v>
      </c>
      <c r="I43" s="304"/>
      <c r="J43" s="304"/>
      <c r="K43" s="304"/>
    </row>
    <row r="44" spans="2:11" s="16" customFormat="1">
      <c r="B44" s="61" t="s">
        <v>272</v>
      </c>
      <c r="C44" s="50">
        <f>MAX(C90,C125)</f>
        <v>1.720113314447592</v>
      </c>
      <c r="D44" s="50">
        <f>MAX(D90,D125)</f>
        <v>7.5340963172804525</v>
      </c>
      <c r="E44" s="50">
        <f>MAX(E90,E125)</f>
        <v>3.6799999999999997</v>
      </c>
      <c r="F44" s="60" t="s">
        <v>39</v>
      </c>
      <c r="G44" s="300" t="s">
        <v>656</v>
      </c>
      <c r="I44" s="304"/>
      <c r="J44" s="304"/>
      <c r="K44" s="304"/>
    </row>
    <row r="45" spans="2:11" s="16" customFormat="1">
      <c r="B45" s="58"/>
      <c r="C45" s="64"/>
      <c r="D45" s="65"/>
      <c r="E45" s="50"/>
      <c r="F45" s="60"/>
      <c r="G45" s="300"/>
      <c r="I45" s="304"/>
      <c r="J45" s="304"/>
      <c r="K45" s="304"/>
    </row>
    <row r="46" spans="2:11" s="16" customFormat="1">
      <c r="B46" s="58" t="s">
        <v>86</v>
      </c>
      <c r="C46" s="64"/>
      <c r="D46" s="65"/>
      <c r="E46" s="50"/>
      <c r="F46" s="60"/>
      <c r="G46" s="300"/>
      <c r="I46" s="304"/>
      <c r="J46" s="304"/>
      <c r="K46" s="304"/>
    </row>
    <row r="47" spans="2:11" s="16" customFormat="1">
      <c r="B47" s="61" t="s">
        <v>91</v>
      </c>
      <c r="C47" s="63">
        <f t="shared" ref="C47:D47" si="4">C98</f>
        <v>2.6876770538243627E-4</v>
      </c>
      <c r="D47" s="63">
        <f t="shared" si="4"/>
        <v>1.1772025495750708E-3</v>
      </c>
      <c r="E47" s="63">
        <f>E98</f>
        <v>5.7499999999999999E-4</v>
      </c>
      <c r="F47" s="46" t="s">
        <v>39</v>
      </c>
      <c r="G47" s="300" t="s">
        <v>656</v>
      </c>
      <c r="I47" s="304"/>
      <c r="J47" s="304"/>
      <c r="K47" s="304"/>
    </row>
    <row r="48" spans="2:11" s="16" customFormat="1">
      <c r="B48" s="61" t="s">
        <v>92</v>
      </c>
      <c r="C48" s="63">
        <f t="shared" ref="C48:D48" si="5">C100</f>
        <v>1.3975920679886681E-4</v>
      </c>
      <c r="D48" s="63">
        <f t="shared" si="5"/>
        <v>6.121453257790367E-4</v>
      </c>
      <c r="E48" s="63">
        <f>E100</f>
        <v>2.9899999999999995E-4</v>
      </c>
      <c r="F48" s="46" t="s">
        <v>39</v>
      </c>
      <c r="G48" s="300" t="s">
        <v>656</v>
      </c>
      <c r="I48" s="304"/>
      <c r="J48" s="304"/>
      <c r="K48" s="304"/>
    </row>
    <row r="49" spans="2:11" s="16" customFormat="1">
      <c r="B49" s="66"/>
      <c r="C49" s="67"/>
      <c r="D49" s="68"/>
      <c r="E49" s="69"/>
      <c r="F49" s="46"/>
      <c r="G49" s="300"/>
      <c r="I49" s="304"/>
      <c r="J49" s="304"/>
      <c r="K49" s="304"/>
    </row>
    <row r="50" spans="2:11" s="16" customFormat="1">
      <c r="B50" s="43" t="s">
        <v>44</v>
      </c>
      <c r="C50" s="44"/>
      <c r="D50" s="68"/>
      <c r="E50" s="69"/>
      <c r="F50" s="46"/>
      <c r="G50" s="300"/>
      <c r="I50" s="304"/>
      <c r="J50" s="304"/>
      <c r="K50" s="304"/>
    </row>
    <row r="51" spans="2:11" s="16" customFormat="1" ht="14.25">
      <c r="B51" s="70" t="s">
        <v>150</v>
      </c>
      <c r="C51" s="71">
        <f>D51/$C$12*2000</f>
        <v>299362.17842465034</v>
      </c>
      <c r="D51" s="72">
        <f>E51*'Key Inputs'!$D$43*$C$15/2000</f>
        <v>1311206.3414999684</v>
      </c>
      <c r="E51" s="586">
        <f>MAX(E105,E128,E156)</f>
        <v>604.77207762555622</v>
      </c>
      <c r="F51" s="52" t="s">
        <v>45</v>
      </c>
      <c r="G51" s="314" t="s">
        <v>656</v>
      </c>
      <c r="I51" s="304"/>
      <c r="J51" s="304"/>
      <c r="K51" s="304"/>
    </row>
    <row r="52" spans="2:11" s="16" customFormat="1" ht="14.25">
      <c r="B52" s="70" t="s">
        <v>151</v>
      </c>
      <c r="C52" s="49">
        <f>D52/$C$12*2000</f>
        <v>1.0912881978151441</v>
      </c>
      <c r="D52" s="72">
        <f>E52*'Key Inputs'!$D$43*$C$15/2000</f>
        <v>4.7798423064303304</v>
      </c>
      <c r="E52" s="587">
        <f>MAX(E106,E129,E157)</f>
        <v>2.2046226218487759E-3</v>
      </c>
      <c r="F52" s="52" t="s">
        <v>45</v>
      </c>
      <c r="G52" s="314" t="s">
        <v>656</v>
      </c>
      <c r="I52" s="304"/>
      <c r="J52" s="304"/>
      <c r="K52" s="304"/>
    </row>
    <row r="53" spans="2:11" s="16" customFormat="1" ht="14.25">
      <c r="B53" s="70" t="s">
        <v>152</v>
      </c>
      <c r="C53" s="49">
        <f>D53/$C$12*2000</f>
        <v>0.10912881978151438</v>
      </c>
      <c r="D53" s="72">
        <f>E53*'Key Inputs'!$D$43*$C$15/2000</f>
        <v>0.47798423064303303</v>
      </c>
      <c r="E53" s="588">
        <f>MAX(E107,E130,E158)</f>
        <v>2.2046226218487756E-4</v>
      </c>
      <c r="F53" s="52" t="s">
        <v>45</v>
      </c>
      <c r="G53" s="314" t="s">
        <v>656</v>
      </c>
      <c r="I53" s="304"/>
      <c r="J53" s="304"/>
      <c r="K53" s="304"/>
    </row>
    <row r="54" spans="2:11" s="16" customFormat="1" ht="15" thickBot="1">
      <c r="B54" s="581" t="s">
        <v>153</v>
      </c>
      <c r="C54" s="582">
        <f>D54/$C$12*2000</f>
        <v>299421.98101789056</v>
      </c>
      <c r="D54" s="583">
        <f>D51*'Key Inputs'!$C$62+D52*'Key Inputs'!$C$63+D53*'Key Inputs'!$C$64</f>
        <v>1311468.2768583607</v>
      </c>
      <c r="E54" s="584" t="s">
        <v>46</v>
      </c>
      <c r="F54" s="585" t="s">
        <v>46</v>
      </c>
      <c r="G54" s="299" t="s">
        <v>47</v>
      </c>
      <c r="I54" s="304"/>
      <c r="J54" s="304"/>
      <c r="K54" s="304"/>
    </row>
    <row r="55" spans="2:11" s="16" customFormat="1">
      <c r="B55" s="580"/>
      <c r="C55" s="71"/>
      <c r="D55" s="73"/>
      <c r="E55" s="74"/>
      <c r="F55" s="75"/>
      <c r="G55" s="300"/>
      <c r="I55" s="304"/>
      <c r="J55" s="304"/>
      <c r="K55" s="304"/>
    </row>
    <row r="56" spans="2:11" s="11" customFormat="1">
      <c r="B56" s="329" t="s">
        <v>251</v>
      </c>
      <c r="C56" s="329"/>
      <c r="D56" s="329"/>
      <c r="E56" s="330"/>
      <c r="F56" s="329"/>
      <c r="G56" s="331"/>
      <c r="I56" s="306"/>
      <c r="J56" s="306"/>
      <c r="K56" s="306"/>
    </row>
    <row r="57" spans="2:11" s="18" customFormat="1" ht="6" customHeight="1" thickBot="1">
      <c r="D57" s="27"/>
      <c r="E57" s="25"/>
      <c r="F57" s="25"/>
      <c r="G57" s="21"/>
      <c r="I57" s="307"/>
      <c r="J57" s="307"/>
      <c r="K57" s="307"/>
    </row>
    <row r="58" spans="2:11" s="18" customFormat="1" ht="6" customHeight="1">
      <c r="B58" s="28"/>
      <c r="C58" s="29"/>
      <c r="D58" s="30"/>
      <c r="E58" s="31"/>
      <c r="F58" s="31"/>
      <c r="G58" s="298"/>
      <c r="I58" s="307"/>
      <c r="J58" s="307"/>
      <c r="K58" s="307"/>
    </row>
    <row r="59" spans="2:11" s="745" customFormat="1" ht="38.25">
      <c r="B59" s="33" t="s">
        <v>32</v>
      </c>
      <c r="C59" s="34" t="s">
        <v>140</v>
      </c>
      <c r="D59" s="34" t="s">
        <v>141</v>
      </c>
      <c r="E59" s="34" t="s">
        <v>139</v>
      </c>
      <c r="F59" s="34" t="s">
        <v>35</v>
      </c>
      <c r="G59" s="35" t="s">
        <v>36</v>
      </c>
      <c r="I59" s="794"/>
      <c r="J59" s="794"/>
      <c r="K59" s="794"/>
    </row>
    <row r="60" spans="2:11" s="749" customFormat="1" ht="6" customHeight="1" thickBot="1">
      <c r="B60" s="746"/>
      <c r="C60" s="747"/>
      <c r="D60" s="40"/>
      <c r="E60" s="40"/>
      <c r="F60" s="40"/>
      <c r="G60" s="748"/>
      <c r="I60" s="750"/>
      <c r="J60" s="750"/>
      <c r="K60" s="750"/>
    </row>
    <row r="61" spans="2:11" s="749" customFormat="1" ht="6" customHeight="1">
      <c r="B61" s="751"/>
      <c r="C61" s="752"/>
      <c r="D61" s="30"/>
      <c r="E61" s="30"/>
      <c r="F61" s="30"/>
      <c r="G61" s="753"/>
      <c r="I61" s="750"/>
      <c r="J61" s="750"/>
      <c r="K61" s="750"/>
    </row>
    <row r="62" spans="2:11" s="756" customFormat="1">
      <c r="B62" s="754" t="s">
        <v>41</v>
      </c>
      <c r="C62" s="755"/>
      <c r="D62" s="54"/>
      <c r="E62" s="56"/>
      <c r="F62" s="57"/>
      <c r="G62" s="314"/>
      <c r="I62" s="757"/>
      <c r="J62" s="757"/>
      <c r="K62" s="757"/>
    </row>
    <row r="63" spans="2:11" s="756" customFormat="1">
      <c r="B63" s="758" t="s">
        <v>42</v>
      </c>
      <c r="C63" s="759"/>
      <c r="D63" s="54"/>
      <c r="E63" s="50"/>
      <c r="F63" s="60"/>
      <c r="G63" s="314"/>
      <c r="I63" s="757"/>
      <c r="J63" s="757"/>
      <c r="K63" s="757"/>
    </row>
    <row r="64" spans="2:11" s="756" customFormat="1" hidden="1">
      <c r="B64" s="760" t="s">
        <v>66</v>
      </c>
      <c r="C64" s="63">
        <f t="shared" ref="C64:C87" si="6">D64/$C$12*2000</f>
        <v>1.290084985835694E-5</v>
      </c>
      <c r="D64" s="63">
        <f>E64*$C$15/2000</f>
        <v>5.6505722379603396E-5</v>
      </c>
      <c r="E64" s="326">
        <f>0.000024*(1+'Key Inputs'!$G$2)</f>
        <v>2.76E-5</v>
      </c>
      <c r="F64" s="182" t="s">
        <v>39</v>
      </c>
      <c r="G64" s="314" t="s">
        <v>128</v>
      </c>
      <c r="I64" s="757"/>
      <c r="J64" s="757"/>
      <c r="K64" s="757"/>
    </row>
    <row r="65" spans="2:11" s="756" customFormat="1" hidden="1">
      <c r="B65" s="760" t="s">
        <v>67</v>
      </c>
      <c r="C65" s="63">
        <f t="shared" si="6"/>
        <v>9.6756373937677013E-7</v>
      </c>
      <c r="D65" s="63">
        <f t="shared" ref="D65:D87" si="7">E65*$C$15/2000</f>
        <v>4.2379291784702535E-6</v>
      </c>
      <c r="E65" s="326">
        <f>0.0000018*(1+'Key Inputs'!$G$2)</f>
        <v>2.0699999999999997E-6</v>
      </c>
      <c r="F65" s="182" t="s">
        <v>39</v>
      </c>
      <c r="G65" s="314" t="s">
        <v>128</v>
      </c>
      <c r="I65" s="757"/>
      <c r="J65" s="757"/>
      <c r="K65" s="757"/>
    </row>
    <row r="66" spans="2:11" s="756" customFormat="1" hidden="1">
      <c r="B66" s="760" t="s">
        <v>68</v>
      </c>
      <c r="C66" s="63">
        <f t="shared" si="6"/>
        <v>8.6005665722379584E-6</v>
      </c>
      <c r="D66" s="63">
        <f t="shared" si="7"/>
        <v>3.7670481586402257E-5</v>
      </c>
      <c r="E66" s="326">
        <f>0.000016*(1+'Key Inputs'!$G$2)</f>
        <v>1.8399999999999997E-5</v>
      </c>
      <c r="F66" s="182" t="s">
        <v>39</v>
      </c>
      <c r="G66" s="314" t="s">
        <v>128</v>
      </c>
      <c r="I66" s="757"/>
      <c r="J66" s="757"/>
      <c r="K66" s="757"/>
    </row>
    <row r="67" spans="2:11" s="756" customFormat="1" hidden="1">
      <c r="B67" s="760" t="s">
        <v>108</v>
      </c>
      <c r="C67" s="63">
        <f t="shared" si="6"/>
        <v>9.6756373937677013E-7</v>
      </c>
      <c r="D67" s="63">
        <f t="shared" si="7"/>
        <v>4.2379291784702535E-6</v>
      </c>
      <c r="E67" s="326">
        <f>0.0000018*(1+'Key Inputs'!$G$2)</f>
        <v>2.0699999999999997E-6</v>
      </c>
      <c r="F67" s="182" t="s">
        <v>39</v>
      </c>
      <c r="G67" s="314" t="s">
        <v>128</v>
      </c>
      <c r="I67" s="757"/>
      <c r="J67" s="757"/>
      <c r="K67" s="757"/>
    </row>
    <row r="68" spans="2:11" s="756" customFormat="1" hidden="1">
      <c r="B68" s="760" t="s">
        <v>109</v>
      </c>
      <c r="C68" s="63">
        <f t="shared" si="6"/>
        <v>9.6756373937677013E-7</v>
      </c>
      <c r="D68" s="63">
        <f t="shared" si="7"/>
        <v>4.2379291784702535E-6</v>
      </c>
      <c r="E68" s="326">
        <f>0.0000018*(1+'Key Inputs'!$G$2)</f>
        <v>2.0699999999999997E-6</v>
      </c>
      <c r="F68" s="182" t="s">
        <v>39</v>
      </c>
      <c r="G68" s="314" t="s">
        <v>128</v>
      </c>
      <c r="I68" s="757"/>
      <c r="J68" s="757"/>
      <c r="K68" s="757"/>
    </row>
    <row r="69" spans="2:11" s="756" customFormat="1" hidden="1">
      <c r="B69" s="760" t="s">
        <v>69</v>
      </c>
      <c r="C69" s="63">
        <f t="shared" si="6"/>
        <v>1.2900849858356939E-6</v>
      </c>
      <c r="D69" s="63">
        <f t="shared" si="7"/>
        <v>5.6505722379603394E-6</v>
      </c>
      <c r="E69" s="326">
        <f>0.0000024*(1+'Key Inputs'!$G$2)</f>
        <v>2.7599999999999998E-6</v>
      </c>
      <c r="F69" s="182" t="s">
        <v>39</v>
      </c>
      <c r="G69" s="314" t="s">
        <v>128</v>
      </c>
      <c r="I69" s="757"/>
      <c r="J69" s="757"/>
      <c r="K69" s="757"/>
    </row>
    <row r="70" spans="2:11" s="756" customFormat="1" hidden="1">
      <c r="B70" s="760" t="s">
        <v>70</v>
      </c>
      <c r="C70" s="63">
        <f t="shared" si="6"/>
        <v>9.6756373937677013E-7</v>
      </c>
      <c r="D70" s="63">
        <f t="shared" si="7"/>
        <v>4.2379291784702535E-6</v>
      </c>
      <c r="E70" s="326">
        <f>0.0000018*(1+'Key Inputs'!$G$2)</f>
        <v>2.0699999999999997E-6</v>
      </c>
      <c r="F70" s="182" t="s">
        <v>39</v>
      </c>
      <c r="G70" s="314" t="s">
        <v>128</v>
      </c>
      <c r="I70" s="757"/>
      <c r="J70" s="757"/>
      <c r="K70" s="757"/>
    </row>
    <row r="71" spans="2:11" s="756" customFormat="1" hidden="1">
      <c r="B71" s="760" t="s">
        <v>43</v>
      </c>
      <c r="C71" s="63">
        <f t="shared" si="6"/>
        <v>1.128824362606232E-3</v>
      </c>
      <c r="D71" s="63">
        <f t="shared" si="7"/>
        <v>4.9442507082152962E-3</v>
      </c>
      <c r="E71" s="326">
        <f>0.0021*(1+'Key Inputs'!$G$2)</f>
        <v>2.4149999999999996E-3</v>
      </c>
      <c r="F71" s="182" t="s">
        <v>39</v>
      </c>
      <c r="G71" s="314" t="s">
        <v>128</v>
      </c>
      <c r="I71" s="757"/>
      <c r="J71" s="757"/>
      <c r="K71" s="757"/>
    </row>
    <row r="72" spans="2:11" s="756" customFormat="1" hidden="1">
      <c r="B72" s="760" t="s">
        <v>71</v>
      </c>
      <c r="C72" s="63">
        <f t="shared" si="6"/>
        <v>6.4504249291784696E-7</v>
      </c>
      <c r="D72" s="63">
        <f t="shared" si="7"/>
        <v>2.8252861189801697E-6</v>
      </c>
      <c r="E72" s="326">
        <f>0.0000012*(1+'Key Inputs'!$G$2)</f>
        <v>1.3799999999999999E-6</v>
      </c>
      <c r="F72" s="182" t="s">
        <v>39</v>
      </c>
      <c r="G72" s="314" t="s">
        <v>128</v>
      </c>
      <c r="I72" s="757"/>
      <c r="J72" s="757"/>
      <c r="K72" s="757"/>
    </row>
    <row r="73" spans="2:11" s="756" customFormat="1" hidden="1">
      <c r="B73" s="760" t="s">
        <v>72</v>
      </c>
      <c r="C73" s="63">
        <f t="shared" si="6"/>
        <v>9.6756373937677013E-7</v>
      </c>
      <c r="D73" s="63">
        <f t="shared" si="7"/>
        <v>4.2379291784702535E-6</v>
      </c>
      <c r="E73" s="326">
        <f>0.0000018*(1+'Key Inputs'!$G$2)</f>
        <v>2.0699999999999997E-6</v>
      </c>
      <c r="F73" s="182" t="s">
        <v>39</v>
      </c>
      <c r="G73" s="314" t="s">
        <v>128</v>
      </c>
      <c r="I73" s="757"/>
      <c r="J73" s="757"/>
      <c r="K73" s="757"/>
    </row>
    <row r="74" spans="2:11" s="756" customFormat="1" hidden="1">
      <c r="B74" s="760" t="s">
        <v>73</v>
      </c>
      <c r="C74" s="63">
        <f t="shared" si="6"/>
        <v>6.4504249291784696E-7</v>
      </c>
      <c r="D74" s="63">
        <f t="shared" si="7"/>
        <v>2.8252861189801697E-6</v>
      </c>
      <c r="E74" s="326">
        <f>0.0000012*(1+'Key Inputs'!$G$2)</f>
        <v>1.3799999999999999E-6</v>
      </c>
      <c r="F74" s="182" t="s">
        <v>39</v>
      </c>
      <c r="G74" s="314" t="s">
        <v>128</v>
      </c>
      <c r="I74" s="757"/>
      <c r="J74" s="757"/>
      <c r="K74" s="757"/>
    </row>
    <row r="75" spans="2:11" s="756" customFormat="1" hidden="1">
      <c r="B75" s="760" t="s">
        <v>74</v>
      </c>
      <c r="C75" s="63">
        <f t="shared" si="6"/>
        <v>9.6756373937677013E-7</v>
      </c>
      <c r="D75" s="63">
        <f t="shared" si="7"/>
        <v>4.2379291784702535E-6</v>
      </c>
      <c r="E75" s="326">
        <f>0.0000018*(1+'Key Inputs'!$G$2)</f>
        <v>2.0699999999999997E-6</v>
      </c>
      <c r="F75" s="182" t="s">
        <v>39</v>
      </c>
      <c r="G75" s="314" t="s">
        <v>128</v>
      </c>
      <c r="I75" s="757"/>
      <c r="J75" s="757"/>
      <c r="K75" s="757"/>
    </row>
    <row r="76" spans="2:11" s="756" customFormat="1" hidden="1">
      <c r="B76" s="760" t="s">
        <v>75</v>
      </c>
      <c r="C76" s="63">
        <f t="shared" si="6"/>
        <v>9.6756373937677013E-7</v>
      </c>
      <c r="D76" s="63">
        <f t="shared" si="7"/>
        <v>4.2379291784702535E-6</v>
      </c>
      <c r="E76" s="326">
        <f>0.0000018*(1+'Key Inputs'!$G$2)</f>
        <v>2.0699999999999997E-6</v>
      </c>
      <c r="F76" s="182" t="s">
        <v>39</v>
      </c>
      <c r="G76" s="314" t="s">
        <v>128</v>
      </c>
      <c r="I76" s="757"/>
      <c r="J76" s="757"/>
      <c r="K76" s="757"/>
    </row>
    <row r="77" spans="2:11" s="756" customFormat="1" hidden="1">
      <c r="B77" s="760" t="s">
        <v>76</v>
      </c>
      <c r="C77" s="63">
        <f t="shared" si="6"/>
        <v>6.4504249291784696E-7</v>
      </c>
      <c r="D77" s="63">
        <f t="shared" si="7"/>
        <v>2.8252861189801697E-6</v>
      </c>
      <c r="E77" s="326">
        <f>0.0000012*(1+'Key Inputs'!$G$2)</f>
        <v>1.3799999999999999E-6</v>
      </c>
      <c r="F77" s="182" t="s">
        <v>39</v>
      </c>
      <c r="G77" s="314" t="s">
        <v>128</v>
      </c>
      <c r="I77" s="757"/>
      <c r="J77" s="757"/>
      <c r="K77" s="757"/>
    </row>
    <row r="78" spans="2:11" s="756" customFormat="1" hidden="1">
      <c r="B78" s="760" t="s">
        <v>77</v>
      </c>
      <c r="C78" s="63">
        <f t="shared" si="6"/>
        <v>6.4504249291784692E-4</v>
      </c>
      <c r="D78" s="63">
        <f t="shared" si="7"/>
        <v>2.8252861189801697E-3</v>
      </c>
      <c r="E78" s="326">
        <f>0.0012*(1+'Key Inputs'!$G$2)</f>
        <v>1.3799999999999997E-3</v>
      </c>
      <c r="F78" s="182" t="s">
        <v>39</v>
      </c>
      <c r="G78" s="314" t="s">
        <v>128</v>
      </c>
      <c r="I78" s="757"/>
      <c r="J78" s="757"/>
      <c r="K78" s="757"/>
    </row>
    <row r="79" spans="2:11" s="756" customFormat="1" hidden="1">
      <c r="B79" s="760" t="s">
        <v>78</v>
      </c>
      <c r="C79" s="63">
        <f t="shared" si="6"/>
        <v>1.6126062322946175E-6</v>
      </c>
      <c r="D79" s="63">
        <f t="shared" si="7"/>
        <v>7.0632152974504245E-6</v>
      </c>
      <c r="E79" s="326">
        <f>0.000003*(1+'Key Inputs'!$G$2)</f>
        <v>3.45E-6</v>
      </c>
      <c r="F79" s="182" t="s">
        <v>39</v>
      </c>
      <c r="G79" s="314" t="s">
        <v>128</v>
      </c>
      <c r="I79" s="757"/>
      <c r="J79" s="757"/>
      <c r="K79" s="757"/>
    </row>
    <row r="80" spans="2:11" s="756" customFormat="1" hidden="1">
      <c r="B80" s="760" t="s">
        <v>79</v>
      </c>
      <c r="C80" s="63">
        <f t="shared" si="6"/>
        <v>1.5050991501416428E-6</v>
      </c>
      <c r="D80" s="63">
        <f t="shared" si="7"/>
        <v>6.5923342776203958E-6</v>
      </c>
      <c r="E80" s="326">
        <f>0.0000028*(1+'Key Inputs'!$G$2)</f>
        <v>3.2199999999999997E-6</v>
      </c>
      <c r="F80" s="182" t="s">
        <v>39</v>
      </c>
      <c r="G80" s="314" t="s">
        <v>128</v>
      </c>
      <c r="I80" s="757"/>
      <c r="J80" s="757"/>
      <c r="K80" s="757"/>
    </row>
    <row r="81" spans="2:11" s="756" customFormat="1" hidden="1">
      <c r="B81" s="760" t="s">
        <v>106</v>
      </c>
      <c r="C81" s="63">
        <f t="shared" si="6"/>
        <v>4.0315155807365437E-2</v>
      </c>
      <c r="D81" s="63">
        <f t="shared" si="7"/>
        <v>0.17658038243626062</v>
      </c>
      <c r="E81" s="326">
        <f>0.075*(1+'Key Inputs'!$G$2)</f>
        <v>8.6249999999999993E-2</v>
      </c>
      <c r="F81" s="182" t="s">
        <v>39</v>
      </c>
      <c r="G81" s="314" t="s">
        <v>128</v>
      </c>
      <c r="I81" s="757"/>
      <c r="J81" s="757"/>
      <c r="K81" s="757"/>
    </row>
    <row r="82" spans="2:11" s="756" customFormat="1">
      <c r="B82" s="760" t="s">
        <v>80</v>
      </c>
      <c r="C82" s="89">
        <f t="shared" si="6"/>
        <v>0.96756373937677043</v>
      </c>
      <c r="D82" s="89">
        <f t="shared" si="7"/>
        <v>4.2379291784702549</v>
      </c>
      <c r="E82" s="328">
        <f>1.8*(1+'Key Inputs'!$G$2)</f>
        <v>2.0699999999999998</v>
      </c>
      <c r="F82" s="182" t="s">
        <v>39</v>
      </c>
      <c r="G82" s="314" t="s">
        <v>128</v>
      </c>
      <c r="I82" s="757"/>
      <c r="J82" s="757"/>
      <c r="K82" s="757"/>
    </row>
    <row r="83" spans="2:11" s="756" customFormat="1" hidden="1">
      <c r="B83" s="760" t="s">
        <v>81</v>
      </c>
      <c r="C83" s="63">
        <f t="shared" si="6"/>
        <v>9.6756373937677013E-7</v>
      </c>
      <c r="D83" s="63">
        <f t="shared" si="7"/>
        <v>4.2379291784702535E-6</v>
      </c>
      <c r="E83" s="326">
        <f>0.0000018*(1+'Key Inputs'!$G$2)</f>
        <v>2.0699999999999997E-6</v>
      </c>
      <c r="F83" s="182" t="s">
        <v>39</v>
      </c>
      <c r="G83" s="314" t="s">
        <v>128</v>
      </c>
      <c r="I83" s="757"/>
      <c r="J83" s="757"/>
      <c r="K83" s="757"/>
    </row>
    <row r="84" spans="2:11" s="756" customFormat="1" hidden="1">
      <c r="B84" s="760" t="s">
        <v>82</v>
      </c>
      <c r="C84" s="63">
        <f t="shared" si="6"/>
        <v>3.2789660056657216E-4</v>
      </c>
      <c r="D84" s="63">
        <f t="shared" si="7"/>
        <v>1.4361871104815861E-3</v>
      </c>
      <c r="E84" s="326">
        <f>0.00061*(1+'Key Inputs'!$G$2)</f>
        <v>7.0149999999999987E-4</v>
      </c>
      <c r="F84" s="182" t="s">
        <v>39</v>
      </c>
      <c r="G84" s="314" t="s">
        <v>128</v>
      </c>
      <c r="I84" s="757"/>
      <c r="J84" s="757"/>
      <c r="K84" s="757"/>
    </row>
    <row r="85" spans="2:11" s="756" customFormat="1" hidden="1">
      <c r="B85" s="760" t="s">
        <v>83</v>
      </c>
      <c r="C85" s="63">
        <f t="shared" si="6"/>
        <v>9.1381019830028307E-6</v>
      </c>
      <c r="D85" s="63">
        <f t="shared" si="7"/>
        <v>4.0024886685552403E-5</v>
      </c>
      <c r="E85" s="326">
        <f>0.000017*(1+'Key Inputs'!$G$2)</f>
        <v>1.9549999999999997E-5</v>
      </c>
      <c r="F85" s="182" t="s">
        <v>39</v>
      </c>
      <c r="G85" s="314" t="s">
        <v>128</v>
      </c>
      <c r="I85" s="757"/>
      <c r="J85" s="757"/>
      <c r="K85" s="757"/>
    </row>
    <row r="86" spans="2:11" s="756" customFormat="1" hidden="1">
      <c r="B86" s="760" t="s">
        <v>84</v>
      </c>
      <c r="C86" s="63">
        <f t="shared" si="6"/>
        <v>2.6876770538243627E-6</v>
      </c>
      <c r="D86" s="63">
        <f t="shared" si="7"/>
        <v>1.1772025495750708E-5</v>
      </c>
      <c r="E86" s="326">
        <f>0.000005*(1+'Key Inputs'!$G$2)</f>
        <v>5.75E-6</v>
      </c>
      <c r="F86" s="182" t="s">
        <v>39</v>
      </c>
      <c r="G86" s="314" t="s">
        <v>128</v>
      </c>
      <c r="I86" s="757"/>
      <c r="J86" s="757"/>
      <c r="K86" s="757"/>
    </row>
    <row r="87" spans="2:11" s="756" customFormat="1" hidden="1">
      <c r="B87" s="760" t="s">
        <v>85</v>
      </c>
      <c r="C87" s="63">
        <f t="shared" si="6"/>
        <v>1.8276203966005663E-3</v>
      </c>
      <c r="D87" s="63">
        <f t="shared" si="7"/>
        <v>8.0049773371104801E-3</v>
      </c>
      <c r="E87" s="326">
        <f>0.0034*(1+'Key Inputs'!$G$2)</f>
        <v>3.9099999999999994E-3</v>
      </c>
      <c r="F87" s="182" t="s">
        <v>39</v>
      </c>
      <c r="G87" s="314" t="s">
        <v>128</v>
      </c>
      <c r="I87" s="757"/>
      <c r="J87" s="757"/>
      <c r="K87" s="757"/>
    </row>
    <row r="88" spans="2:11" s="756" customFormat="1">
      <c r="B88" s="758"/>
      <c r="C88" s="761"/>
      <c r="D88" s="65"/>
      <c r="E88" s="50"/>
      <c r="F88" s="60"/>
      <c r="G88" s="314"/>
      <c r="I88" s="757"/>
      <c r="J88" s="757"/>
      <c r="K88" s="757"/>
    </row>
    <row r="89" spans="2:11" s="756" customFormat="1">
      <c r="B89" s="758" t="s">
        <v>261</v>
      </c>
      <c r="C89" s="761"/>
      <c r="D89" s="65"/>
      <c r="E89" s="50"/>
      <c r="F89" s="60"/>
      <c r="G89" s="314"/>
      <c r="I89" s="757"/>
      <c r="J89" s="757"/>
      <c r="K89" s="757"/>
    </row>
    <row r="90" spans="2:11" s="756" customFormat="1">
      <c r="B90" s="760" t="s">
        <v>272</v>
      </c>
      <c r="C90" s="89">
        <f t="shared" ref="C90" si="8">D90/$C$12*2000</f>
        <v>1.720113314447592</v>
      </c>
      <c r="D90" s="89">
        <f t="shared" ref="D90" si="9">E90*$C$15/2000</f>
        <v>7.5340963172804525</v>
      </c>
      <c r="E90" s="328">
        <f>3.2*(1+'Key Inputs'!$G$2)</f>
        <v>3.6799999999999997</v>
      </c>
      <c r="F90" s="60" t="s">
        <v>39</v>
      </c>
      <c r="G90" s="314" t="s">
        <v>273</v>
      </c>
      <c r="I90" s="757"/>
      <c r="J90" s="757"/>
      <c r="K90" s="757"/>
    </row>
    <row r="91" spans="2:11" s="756" customFormat="1">
      <c r="B91" s="758"/>
      <c r="C91" s="761"/>
      <c r="D91" s="65"/>
      <c r="E91" s="50"/>
      <c r="F91" s="60"/>
      <c r="G91" s="314"/>
      <c r="I91" s="757"/>
      <c r="J91" s="757"/>
      <c r="K91" s="757"/>
    </row>
    <row r="92" spans="2:11" s="756" customFormat="1">
      <c r="B92" s="758" t="s">
        <v>86</v>
      </c>
      <c r="C92" s="761"/>
      <c r="D92" s="65"/>
      <c r="E92" s="50"/>
      <c r="F92" s="60"/>
      <c r="G92" s="314"/>
      <c r="I92" s="757"/>
      <c r="J92" s="757"/>
      <c r="K92" s="757"/>
    </row>
    <row r="93" spans="2:11" s="16" customFormat="1" hidden="1">
      <c r="B93" s="61" t="s">
        <v>87</v>
      </c>
      <c r="C93" s="62">
        <f t="shared" ref="C93:C102" si="10">D93/$C$12*2000</f>
        <v>1.075070821529745E-4</v>
      </c>
      <c r="D93" s="63">
        <f>E93*$C$15/2000</f>
        <v>4.7088101983002828E-4</v>
      </c>
      <c r="E93" s="326">
        <f>0.0002*(1+'Key Inputs'!$G$2)</f>
        <v>2.2999999999999998E-4</v>
      </c>
      <c r="F93" s="46" t="s">
        <v>39</v>
      </c>
      <c r="G93" s="300" t="s">
        <v>127</v>
      </c>
      <c r="I93" s="304"/>
      <c r="J93" s="304"/>
      <c r="K93" s="304"/>
    </row>
    <row r="94" spans="2:11" s="16" customFormat="1" hidden="1">
      <c r="B94" s="61" t="s">
        <v>88</v>
      </c>
      <c r="C94" s="62">
        <f t="shared" si="10"/>
        <v>2.3651558073654391E-3</v>
      </c>
      <c r="D94" s="63">
        <f t="shared" ref="D94:D102" si="11">E94*$C$15/2000</f>
        <v>1.0359382436260623E-2</v>
      </c>
      <c r="E94" s="326">
        <f>0.0044*(1+'Key Inputs'!$G$2)</f>
        <v>5.0600000000000003E-3</v>
      </c>
      <c r="F94" s="46" t="s">
        <v>39</v>
      </c>
      <c r="G94" s="300" t="s">
        <v>127</v>
      </c>
      <c r="I94" s="304"/>
      <c r="J94" s="304"/>
      <c r="K94" s="304"/>
    </row>
    <row r="95" spans="2:11" s="16" customFormat="1" hidden="1">
      <c r="B95" s="61" t="s">
        <v>11</v>
      </c>
      <c r="C95" s="62">
        <f t="shared" si="10"/>
        <v>5.9128895184135978E-4</v>
      </c>
      <c r="D95" s="63">
        <f t="shared" si="11"/>
        <v>2.5898456090651559E-3</v>
      </c>
      <c r="E95" s="326">
        <f>0.0011*(1+'Key Inputs'!$G$2)</f>
        <v>1.2650000000000001E-3</v>
      </c>
      <c r="F95" s="46" t="s">
        <v>39</v>
      </c>
      <c r="G95" s="300" t="s">
        <v>127</v>
      </c>
      <c r="I95" s="304"/>
      <c r="J95" s="304"/>
      <c r="K95" s="304"/>
    </row>
    <row r="96" spans="2:11" s="16" customFormat="1" hidden="1">
      <c r="B96" s="61" t="s">
        <v>89</v>
      </c>
      <c r="C96" s="62">
        <f t="shared" si="10"/>
        <v>7.5254957507082151E-4</v>
      </c>
      <c r="D96" s="63">
        <f t="shared" si="11"/>
        <v>3.2961671388101982E-3</v>
      </c>
      <c r="E96" s="326">
        <f>0.0014*(1+'Key Inputs'!$G$2)</f>
        <v>1.6099999999999999E-3</v>
      </c>
      <c r="F96" s="46" t="s">
        <v>39</v>
      </c>
      <c r="G96" s="300" t="s">
        <v>127</v>
      </c>
      <c r="I96" s="304"/>
      <c r="J96" s="304"/>
      <c r="K96" s="304"/>
    </row>
    <row r="97" spans="2:11" s="16" customFormat="1" hidden="1">
      <c r="B97" s="61" t="s">
        <v>90</v>
      </c>
      <c r="C97" s="62">
        <f t="shared" si="10"/>
        <v>4.5152974504249279E-5</v>
      </c>
      <c r="D97" s="63">
        <f t="shared" si="11"/>
        <v>1.9777002832861186E-4</v>
      </c>
      <c r="E97" s="326">
        <f>0.000084*(1+'Key Inputs'!$G$2)</f>
        <v>9.659999999999999E-5</v>
      </c>
      <c r="F97" s="46" t="s">
        <v>39</v>
      </c>
      <c r="G97" s="300" t="s">
        <v>127</v>
      </c>
      <c r="I97" s="304"/>
      <c r="J97" s="304"/>
      <c r="K97" s="304"/>
    </row>
    <row r="98" spans="2:11" s="16" customFormat="1">
      <c r="B98" s="61" t="s">
        <v>91</v>
      </c>
      <c r="C98" s="62">
        <f t="shared" si="10"/>
        <v>2.6876770538243627E-4</v>
      </c>
      <c r="D98" s="63">
        <f t="shared" si="11"/>
        <v>1.1772025495750708E-3</v>
      </c>
      <c r="E98" s="326">
        <f>0.0005*(1+'Key Inputs'!$G$2)</f>
        <v>5.7499999999999999E-4</v>
      </c>
      <c r="F98" s="46" t="s">
        <v>39</v>
      </c>
      <c r="G98" s="300" t="s">
        <v>126</v>
      </c>
      <c r="I98" s="304"/>
      <c r="J98" s="304"/>
      <c r="K98" s="304"/>
    </row>
    <row r="99" spans="2:11" s="16" customFormat="1" hidden="1">
      <c r="B99" s="61" t="s">
        <v>7</v>
      </c>
      <c r="C99" s="62">
        <f t="shared" si="10"/>
        <v>2.0426345609065157E-4</v>
      </c>
      <c r="D99" s="63">
        <f t="shared" si="11"/>
        <v>8.9467393767705386E-4</v>
      </c>
      <c r="E99" s="326">
        <f>0.00038*(1+'Key Inputs'!$G$2)</f>
        <v>4.37E-4</v>
      </c>
      <c r="F99" s="46" t="s">
        <v>39</v>
      </c>
      <c r="G99" s="300" t="s">
        <v>127</v>
      </c>
      <c r="I99" s="304"/>
      <c r="J99" s="304"/>
      <c r="K99" s="304"/>
    </row>
    <row r="100" spans="2:11" s="16" customFormat="1">
      <c r="B100" s="61" t="s">
        <v>92</v>
      </c>
      <c r="C100" s="62">
        <f t="shared" si="10"/>
        <v>1.3975920679886681E-4</v>
      </c>
      <c r="D100" s="63">
        <f t="shared" si="11"/>
        <v>6.121453257790367E-4</v>
      </c>
      <c r="E100" s="326">
        <f>0.00026*(1+'Key Inputs'!$G$2)</f>
        <v>2.9899999999999995E-4</v>
      </c>
      <c r="F100" s="46" t="s">
        <v>39</v>
      </c>
      <c r="G100" s="300" t="s">
        <v>127</v>
      </c>
      <c r="I100" s="304"/>
      <c r="J100" s="304"/>
      <c r="K100" s="304"/>
    </row>
    <row r="101" spans="2:11" s="16" customFormat="1" hidden="1">
      <c r="B101" s="66" t="s">
        <v>12</v>
      </c>
      <c r="C101" s="62">
        <f t="shared" si="10"/>
        <v>1.128824362606232E-3</v>
      </c>
      <c r="D101" s="63">
        <f t="shared" si="11"/>
        <v>4.9442507082152962E-3</v>
      </c>
      <c r="E101" s="327">
        <f>0.0021*(1+'Key Inputs'!$G$2)</f>
        <v>2.4149999999999996E-3</v>
      </c>
      <c r="F101" s="46" t="s">
        <v>39</v>
      </c>
      <c r="G101" s="300" t="s">
        <v>127</v>
      </c>
      <c r="I101" s="304"/>
      <c r="J101" s="304"/>
      <c r="K101" s="304"/>
    </row>
    <row r="102" spans="2:11" s="16" customFormat="1" hidden="1">
      <c r="B102" s="66" t="s">
        <v>93</v>
      </c>
      <c r="C102" s="62">
        <f t="shared" si="10"/>
        <v>1.290084985835694E-5</v>
      </c>
      <c r="D102" s="63">
        <f t="shared" si="11"/>
        <v>5.6505722379603396E-5</v>
      </c>
      <c r="E102" s="327">
        <f>0.000024*(1+'Key Inputs'!$G$2)</f>
        <v>2.76E-5</v>
      </c>
      <c r="F102" s="46" t="s">
        <v>39</v>
      </c>
      <c r="G102" s="300" t="s">
        <v>127</v>
      </c>
      <c r="I102" s="304"/>
      <c r="J102" s="304"/>
      <c r="K102" s="304"/>
    </row>
    <row r="103" spans="2:11" s="16" customFormat="1">
      <c r="B103" s="66"/>
      <c r="C103" s="67"/>
      <c r="D103" s="68"/>
      <c r="E103" s="69"/>
      <c r="F103" s="46"/>
      <c r="G103" s="300"/>
      <c r="I103" s="304"/>
      <c r="J103" s="304"/>
      <c r="K103" s="304"/>
    </row>
    <row r="104" spans="2:11" s="16" customFormat="1">
      <c r="B104" s="43" t="s">
        <v>44</v>
      </c>
      <c r="C104" s="44"/>
      <c r="D104" s="68"/>
      <c r="E104" s="69"/>
      <c r="F104" s="46"/>
      <c r="G104" s="300"/>
      <c r="I104" s="304"/>
      <c r="J104" s="304"/>
      <c r="K104" s="304"/>
    </row>
    <row r="105" spans="2:11" s="16" customFormat="1" ht="14.25">
      <c r="B105" s="70" t="s">
        <v>150</v>
      </c>
      <c r="C105" s="71">
        <f>D105/$C$12*2000</f>
        <v>57903.751776071535</v>
      </c>
      <c r="D105" s="72">
        <f>E105*'Key Inputs'!$D$43*$C$15/2000</f>
        <v>253618.43277919333</v>
      </c>
      <c r="E105" s="323">
        <f>CONVERT(53.06,"kg","lbm")</f>
        <v>116.97727631529604</v>
      </c>
      <c r="F105" s="52" t="s">
        <v>45</v>
      </c>
      <c r="G105" s="314" t="s">
        <v>256</v>
      </c>
      <c r="I105" s="304"/>
      <c r="J105" s="304"/>
      <c r="K105" s="304"/>
    </row>
    <row r="106" spans="2:11" s="16" customFormat="1" ht="14.25">
      <c r="B106" s="70" t="s">
        <v>151</v>
      </c>
      <c r="C106" s="49">
        <f>D106/$C$12*2000</f>
        <v>1.0912881978151441</v>
      </c>
      <c r="D106" s="72">
        <f>E106*'Key Inputs'!$D$43*$C$15/2000</f>
        <v>4.7798423064303304</v>
      </c>
      <c r="E106" s="324">
        <f>CONVERT(0.001,"kg","lbm")</f>
        <v>2.2046226218487759E-3</v>
      </c>
      <c r="F106" s="52" t="s">
        <v>45</v>
      </c>
      <c r="G106" s="314" t="s">
        <v>94</v>
      </c>
      <c r="I106" s="304"/>
      <c r="J106" s="304"/>
      <c r="K106" s="304"/>
    </row>
    <row r="107" spans="2:11" s="16" customFormat="1" ht="14.25">
      <c r="B107" s="70" t="s">
        <v>152</v>
      </c>
      <c r="C107" s="49">
        <f>D107/$C$12*2000</f>
        <v>0.10912881978151438</v>
      </c>
      <c r="D107" s="72">
        <f>E107*'Key Inputs'!$D$43*$C$15/2000</f>
        <v>0.47798423064303303</v>
      </c>
      <c r="E107" s="325">
        <f>CONVERT(0.0001,"kg","lbm")</f>
        <v>2.2046226218487756E-4</v>
      </c>
      <c r="F107" s="52" t="s">
        <v>45</v>
      </c>
      <c r="G107" s="314" t="s">
        <v>94</v>
      </c>
      <c r="I107" s="304"/>
      <c r="J107" s="304"/>
      <c r="K107" s="304"/>
    </row>
    <row r="108" spans="2:11" s="16" customFormat="1" ht="14.25">
      <c r="B108" s="70" t="s">
        <v>153</v>
      </c>
      <c r="C108" s="71">
        <f>D108/$C$12*2000</f>
        <v>57963.554369311802</v>
      </c>
      <c r="D108" s="73">
        <f>D105*'Key Inputs'!$C$62+D106*'Key Inputs'!$C$63+D107*'Key Inputs'!$C$64</f>
        <v>253880.3681375857</v>
      </c>
      <c r="E108" s="74" t="s">
        <v>46</v>
      </c>
      <c r="F108" s="75" t="s">
        <v>46</v>
      </c>
      <c r="G108" s="300" t="s">
        <v>47</v>
      </c>
      <c r="I108" s="304"/>
      <c r="J108" s="304"/>
      <c r="K108" s="304"/>
    </row>
    <row r="109" spans="2:11" s="18" customFormat="1" ht="6" customHeight="1" thickBot="1">
      <c r="B109" s="38"/>
      <c r="C109" s="76"/>
      <c r="D109" s="77"/>
      <c r="E109" s="78"/>
      <c r="F109" s="78"/>
      <c r="G109" s="299"/>
      <c r="I109" s="307"/>
      <c r="J109" s="307"/>
      <c r="K109" s="307"/>
    </row>
    <row r="110" spans="2:11" s="18" customFormat="1" ht="6" customHeight="1">
      <c r="D110" s="27"/>
      <c r="E110" s="25"/>
      <c r="F110" s="25"/>
      <c r="G110" s="21"/>
      <c r="I110" s="307"/>
      <c r="J110" s="307"/>
      <c r="K110" s="307"/>
    </row>
    <row r="111" spans="2:11" s="11" customFormat="1">
      <c r="B111" s="316" t="s">
        <v>259</v>
      </c>
      <c r="C111" s="316"/>
      <c r="D111" s="316"/>
      <c r="E111" s="317"/>
      <c r="F111" s="316"/>
      <c r="G111" s="318"/>
      <c r="I111" s="306"/>
      <c r="J111" s="306"/>
      <c r="K111" s="306"/>
    </row>
    <row r="112" spans="2:11" s="18" customFormat="1" ht="6" customHeight="1" thickBot="1">
      <c r="D112" s="27"/>
      <c r="E112" s="25"/>
      <c r="F112" s="25"/>
      <c r="G112" s="21"/>
      <c r="I112" s="307"/>
      <c r="J112" s="307"/>
      <c r="K112" s="307"/>
    </row>
    <row r="113" spans="2:11" s="18" customFormat="1" ht="6" customHeight="1">
      <c r="B113" s="28"/>
      <c r="C113" s="29"/>
      <c r="D113" s="30"/>
      <c r="E113" s="31"/>
      <c r="F113" s="31"/>
      <c r="G113" s="298"/>
      <c r="I113" s="307"/>
      <c r="J113" s="307"/>
      <c r="K113" s="307"/>
    </row>
    <row r="114" spans="2:11" s="37" customFormat="1" ht="38.25">
      <c r="B114" s="33" t="s">
        <v>32</v>
      </c>
      <c r="C114" s="34" t="s">
        <v>140</v>
      </c>
      <c r="D114" s="34" t="s">
        <v>141</v>
      </c>
      <c r="E114" s="34" t="s">
        <v>139</v>
      </c>
      <c r="F114" s="34" t="s">
        <v>35</v>
      </c>
      <c r="G114" s="35" t="s">
        <v>36</v>
      </c>
      <c r="I114" s="36"/>
      <c r="J114" s="36"/>
      <c r="K114" s="36"/>
    </row>
    <row r="115" spans="2:11" s="18" customFormat="1" ht="6" customHeight="1" thickBot="1">
      <c r="B115" s="38"/>
      <c r="C115" s="39"/>
      <c r="D115" s="40"/>
      <c r="E115" s="41"/>
      <c r="F115" s="41"/>
      <c r="G115" s="299"/>
      <c r="I115" s="307"/>
      <c r="J115" s="307"/>
      <c r="K115" s="307"/>
    </row>
    <row r="116" spans="2:11" s="18" customFormat="1" ht="6" customHeight="1">
      <c r="B116" s="28"/>
      <c r="C116" s="29"/>
      <c r="D116" s="30"/>
      <c r="E116" s="31"/>
      <c r="F116" s="31"/>
      <c r="G116" s="298"/>
      <c r="I116" s="307"/>
      <c r="J116" s="307"/>
      <c r="K116" s="307"/>
    </row>
    <row r="117" spans="2:11" s="16" customFormat="1">
      <c r="B117" s="43" t="s">
        <v>41</v>
      </c>
      <c r="C117" s="44"/>
      <c r="D117" s="54"/>
      <c r="E117" s="56"/>
      <c r="F117" s="57"/>
      <c r="G117" s="300"/>
      <c r="I117" s="304"/>
      <c r="J117" s="304"/>
      <c r="K117" s="304"/>
    </row>
    <row r="118" spans="2:11" s="16" customFormat="1">
      <c r="B118" s="58" t="s">
        <v>42</v>
      </c>
      <c r="C118" s="59"/>
      <c r="D118" s="54"/>
      <c r="E118" s="50"/>
      <c r="F118" s="60"/>
      <c r="G118" s="300"/>
      <c r="I118" s="304"/>
      <c r="J118" s="304"/>
      <c r="K118" s="304"/>
    </row>
    <row r="119" spans="2:11" s="16" customFormat="1">
      <c r="B119" s="61" t="s">
        <v>43</v>
      </c>
      <c r="C119" s="62">
        <f t="shared" ref="C119:C125" si="12">D119/$C$12*2000</f>
        <v>2.8909035444509006E-2</v>
      </c>
      <c r="D119" s="63">
        <f>E119*$C$16/2000</f>
        <v>0.12662157524694945</v>
      </c>
      <c r="E119" s="326">
        <v>3.0152999999999992E-2</v>
      </c>
      <c r="F119" s="46" t="s">
        <v>39</v>
      </c>
      <c r="G119" s="300" t="s">
        <v>266</v>
      </c>
      <c r="I119" s="304"/>
      <c r="J119" s="304"/>
      <c r="K119" s="304"/>
    </row>
    <row r="120" spans="2:11" s="16" customFormat="1">
      <c r="B120" s="61"/>
      <c r="C120" s="62"/>
      <c r="D120" s="63"/>
      <c r="E120" s="63"/>
      <c r="F120" s="46"/>
      <c r="G120" s="300"/>
      <c r="I120" s="304"/>
      <c r="J120" s="304"/>
      <c r="K120" s="304"/>
    </row>
    <row r="121" spans="2:11" s="16" customFormat="1">
      <c r="B121" s="58" t="s">
        <v>261</v>
      </c>
      <c r="C121" s="62"/>
      <c r="D121" s="63"/>
      <c r="E121" s="63"/>
      <c r="F121" s="46"/>
      <c r="G121" s="300"/>
      <c r="I121" s="304"/>
      <c r="J121" s="304"/>
      <c r="K121" s="304"/>
    </row>
    <row r="122" spans="2:11" s="16" customFormat="1">
      <c r="B122" s="61" t="s">
        <v>267</v>
      </c>
      <c r="C122" s="49">
        <f t="shared" ref="C122" si="13">D122/$C$12*2000</f>
        <v>4.3718768158047654</v>
      </c>
      <c r="D122" s="89">
        <f>E122*$C$16/2000</f>
        <v>19.148820453224872</v>
      </c>
      <c r="E122" s="89">
        <v>4.5599999999999996</v>
      </c>
      <c r="F122" s="46" t="s">
        <v>39</v>
      </c>
      <c r="G122" s="300" t="s">
        <v>270</v>
      </c>
      <c r="I122" s="304"/>
      <c r="J122" s="304"/>
      <c r="K122" s="304"/>
    </row>
    <row r="123" spans="2:11" s="16" customFormat="1" ht="14.25">
      <c r="B123" s="61" t="s">
        <v>268</v>
      </c>
      <c r="C123" s="62">
        <f t="shared" si="12"/>
        <v>3.1638582219639749E-2</v>
      </c>
      <c r="D123" s="63">
        <f>E123*$C$16/2000</f>
        <v>0.1385769901220221</v>
      </c>
      <c r="E123" s="63">
        <v>3.3000000000000002E-2</v>
      </c>
      <c r="F123" s="46" t="s">
        <v>39</v>
      </c>
      <c r="G123" s="300" t="s">
        <v>270</v>
      </c>
      <c r="I123" s="304"/>
      <c r="J123" s="304"/>
      <c r="K123" s="304"/>
    </row>
    <row r="124" spans="2:11" s="16" customFormat="1">
      <c r="B124" s="61" t="s">
        <v>262</v>
      </c>
      <c r="C124" s="62">
        <f t="shared" si="12"/>
        <v>6.2318419523532835E-2</v>
      </c>
      <c r="D124" s="63">
        <f t="shared" ref="D124:D125" si="14">E124*$C$16/2000</f>
        <v>0.27295467751307384</v>
      </c>
      <c r="E124" s="63">
        <v>6.5000000000000002E-2</v>
      </c>
      <c r="F124" s="46" t="s">
        <v>39</v>
      </c>
      <c r="G124" s="300" t="s">
        <v>270</v>
      </c>
      <c r="I124" s="304"/>
      <c r="J124" s="304"/>
      <c r="K124" s="304"/>
    </row>
    <row r="125" spans="2:11" s="16" customFormat="1" ht="14.25">
      <c r="B125" s="61" t="s">
        <v>269</v>
      </c>
      <c r="C125" s="62">
        <f t="shared" si="12"/>
        <v>0.14860546194073215</v>
      </c>
      <c r="D125" s="63">
        <f t="shared" si="14"/>
        <v>0.65089192330040679</v>
      </c>
      <c r="E125" s="63">
        <v>0.155</v>
      </c>
      <c r="F125" s="46" t="s">
        <v>39</v>
      </c>
      <c r="G125" s="300" t="s">
        <v>270</v>
      </c>
      <c r="I125" s="304"/>
      <c r="J125" s="304"/>
      <c r="K125" s="304"/>
    </row>
    <row r="126" spans="2:11" s="16" customFormat="1">
      <c r="B126" s="58"/>
      <c r="C126" s="64"/>
      <c r="D126" s="65"/>
      <c r="E126" s="50"/>
      <c r="F126" s="60"/>
      <c r="G126" s="300"/>
      <c r="I126" s="304"/>
      <c r="J126" s="304"/>
      <c r="K126" s="304"/>
    </row>
    <row r="127" spans="2:11" s="16" customFormat="1">
      <c r="B127" s="43" t="s">
        <v>44</v>
      </c>
      <c r="C127" s="44"/>
      <c r="D127" s="68"/>
      <c r="E127" s="69"/>
      <c r="F127" s="46"/>
      <c r="G127" s="300"/>
      <c r="I127" s="304"/>
      <c r="J127" s="304"/>
      <c r="K127" s="304"/>
    </row>
    <row r="128" spans="2:11" s="16" customFormat="1" ht="14.25">
      <c r="B128" s="70" t="s">
        <v>150</v>
      </c>
      <c r="C128" s="71">
        <f>D128/$C$12*2000</f>
        <v>51126.852067639513</v>
      </c>
      <c r="D128" s="72">
        <f>E128*'Key Inputs'!$D$45*$C$16/2000</f>
        <v>223935.61205626104</v>
      </c>
      <c r="E128" s="323">
        <f>CONVERT(46.85,"kg","lbm")</f>
        <v>103.28656983361515</v>
      </c>
      <c r="F128" s="52" t="s">
        <v>45</v>
      </c>
      <c r="G128" s="314" t="s">
        <v>280</v>
      </c>
      <c r="I128" s="304"/>
      <c r="J128" s="304"/>
      <c r="K128" s="304"/>
    </row>
    <row r="129" spans="2:11" s="16" customFormat="1" ht="14.25">
      <c r="B129" s="70" t="s">
        <v>151</v>
      </c>
      <c r="C129" s="49">
        <f>D129/$C$12*2000</f>
        <v>0.52381833495126917</v>
      </c>
      <c r="D129" s="72">
        <f>E129*'Key Inputs'!$D$45*$C$16/2000</f>
        <v>2.2943243070865593</v>
      </c>
      <c r="E129" s="324">
        <f>CONVERT(0.00048,"kg","lbm")</f>
        <v>1.0582188584874123E-3</v>
      </c>
      <c r="F129" s="52" t="s">
        <v>45</v>
      </c>
      <c r="G129" s="314" t="s">
        <v>281</v>
      </c>
      <c r="I129" s="304"/>
      <c r="J129" s="304"/>
      <c r="K129" s="304"/>
    </row>
    <row r="130" spans="2:11" s="16" customFormat="1" ht="14.25">
      <c r="B130" s="70" t="s">
        <v>152</v>
      </c>
      <c r="C130" s="49">
        <f>D130/$C$12*2000</f>
        <v>0.1091288197815144</v>
      </c>
      <c r="D130" s="72">
        <f>E130*'Key Inputs'!$D$45*$C$16/2000</f>
        <v>0.47798423064303308</v>
      </c>
      <c r="E130" s="325">
        <f>CONVERT(0.0001,"kg","lbm")</f>
        <v>2.2046226218487756E-4</v>
      </c>
      <c r="F130" s="52" t="s">
        <v>45</v>
      </c>
      <c r="G130" s="314" t="s">
        <v>281</v>
      </c>
      <c r="I130" s="304"/>
      <c r="J130" s="304"/>
      <c r="K130" s="304"/>
    </row>
    <row r="131" spans="2:11" s="16" customFormat="1" ht="14.25">
      <c r="B131" s="70" t="s">
        <v>153</v>
      </c>
      <c r="C131" s="71">
        <f>D131/$C$12*2000</f>
        <v>51172.467914308181</v>
      </c>
      <c r="D131" s="73">
        <f>D128*'Key Inputs'!$C$62+D129*'Key Inputs'!$C$63+D130*'Key Inputs'!$C$64</f>
        <v>224135.40946466982</v>
      </c>
      <c r="E131" s="74" t="s">
        <v>46</v>
      </c>
      <c r="F131" s="75" t="s">
        <v>46</v>
      </c>
      <c r="G131" s="300" t="s">
        <v>47</v>
      </c>
      <c r="I131" s="304"/>
      <c r="J131" s="304"/>
      <c r="K131" s="304"/>
    </row>
    <row r="132" spans="2:11" s="18" customFormat="1" ht="6" customHeight="1" thickBot="1">
      <c r="B132" s="38"/>
      <c r="C132" s="76"/>
      <c r="D132" s="77"/>
      <c r="E132" s="78"/>
      <c r="F132" s="78"/>
      <c r="G132" s="299"/>
      <c r="I132" s="307"/>
      <c r="J132" s="307"/>
      <c r="K132" s="307"/>
    </row>
    <row r="133" spans="2:11" ht="6" customHeight="1"/>
    <row r="134" spans="2:11" s="11" customFormat="1">
      <c r="B134" s="316" t="s">
        <v>278</v>
      </c>
      <c r="C134" s="316"/>
      <c r="D134" s="316"/>
      <c r="E134" s="317"/>
      <c r="F134" s="316"/>
      <c r="G134" s="318"/>
      <c r="I134" s="306"/>
      <c r="J134" s="306"/>
      <c r="K134" s="306"/>
    </row>
    <row r="135" spans="2:11" s="18" customFormat="1" ht="6" customHeight="1" thickBot="1">
      <c r="D135" s="27"/>
      <c r="E135" s="25"/>
      <c r="F135" s="25"/>
      <c r="G135" s="21"/>
      <c r="I135" s="307"/>
      <c r="J135" s="307"/>
      <c r="K135" s="307"/>
    </row>
    <row r="136" spans="2:11" s="18" customFormat="1" ht="6" customHeight="1">
      <c r="B136" s="28"/>
      <c r="C136" s="29"/>
      <c r="D136" s="30"/>
      <c r="E136" s="31"/>
      <c r="F136" s="31"/>
      <c r="G136" s="298"/>
      <c r="I136" s="307"/>
      <c r="J136" s="307"/>
      <c r="K136" s="307"/>
    </row>
    <row r="137" spans="2:11" s="37" customFormat="1" ht="38.25">
      <c r="B137" s="33" t="s">
        <v>32</v>
      </c>
      <c r="C137" s="34" t="s">
        <v>140</v>
      </c>
      <c r="D137" s="34" t="s">
        <v>141</v>
      </c>
      <c r="E137" s="34" t="s">
        <v>139</v>
      </c>
      <c r="F137" s="34" t="s">
        <v>35</v>
      </c>
      <c r="G137" s="35" t="s">
        <v>36</v>
      </c>
      <c r="I137" s="744"/>
      <c r="J137" s="744"/>
      <c r="K137" s="744"/>
    </row>
    <row r="138" spans="2:11" s="18" customFormat="1" ht="6" customHeight="1" thickBot="1">
      <c r="B138" s="38"/>
      <c r="C138" s="39"/>
      <c r="D138" s="40"/>
      <c r="E138" s="41"/>
      <c r="F138" s="41"/>
      <c r="G138" s="299"/>
      <c r="I138" s="307"/>
      <c r="J138" s="307"/>
      <c r="K138" s="307"/>
    </row>
    <row r="139" spans="2:11" s="18" customFormat="1" ht="6" customHeight="1">
      <c r="B139" s="28"/>
      <c r="C139" s="29"/>
      <c r="D139" s="30"/>
      <c r="E139" s="31"/>
      <c r="F139" s="31"/>
      <c r="G139" s="298"/>
      <c r="I139" s="307"/>
      <c r="J139" s="307"/>
      <c r="K139" s="307"/>
    </row>
    <row r="140" spans="2:11" s="16" customFormat="1">
      <c r="B140" s="43" t="s">
        <v>41</v>
      </c>
      <c r="C140" s="44"/>
      <c r="D140" s="54"/>
      <c r="E140" s="56"/>
      <c r="F140" s="57"/>
      <c r="G140" s="300"/>
      <c r="I140" s="304"/>
      <c r="J140" s="304"/>
      <c r="K140" s="304"/>
    </row>
    <row r="141" spans="2:11" s="16" customFormat="1">
      <c r="B141" s="58" t="s">
        <v>86</v>
      </c>
      <c r="C141" s="49"/>
      <c r="D141" s="50"/>
      <c r="E141" s="80"/>
      <c r="F141" s="52"/>
      <c r="G141" s="301"/>
      <c r="I141" s="304"/>
      <c r="J141" s="304"/>
      <c r="K141" s="304"/>
    </row>
    <row r="142" spans="2:11" s="16" customFormat="1">
      <c r="B142" s="48" t="s">
        <v>234</v>
      </c>
      <c r="C142" s="62">
        <f>$C$84*E142%</f>
        <v>3.1805970254957499E-9</v>
      </c>
      <c r="D142" s="62">
        <f>$D$84*E142%</f>
        <v>1.3931014971671386E-8</v>
      </c>
      <c r="E142" s="82">
        <v>9.7000000000000005E-4</v>
      </c>
      <c r="F142" s="52" t="s">
        <v>245</v>
      </c>
      <c r="G142" s="301" t="s">
        <v>246</v>
      </c>
      <c r="I142" s="304"/>
      <c r="J142" s="304"/>
      <c r="K142" s="304"/>
    </row>
    <row r="143" spans="2:11" s="16" customFormat="1">
      <c r="B143" s="48" t="s">
        <v>235</v>
      </c>
      <c r="C143" s="62">
        <f t="shared" ref="C143:C153" si="15">$C$84*E143%</f>
        <v>3.9347592067988657E-10</v>
      </c>
      <c r="D143" s="62">
        <f t="shared" ref="D143:D153" si="16">$D$84*E143%</f>
        <v>1.7234245325779034E-9</v>
      </c>
      <c r="E143" s="82">
        <v>1.2E-4</v>
      </c>
      <c r="F143" s="52" t="s">
        <v>245</v>
      </c>
      <c r="G143" s="301" t="s">
        <v>246</v>
      </c>
      <c r="I143" s="304"/>
      <c r="J143" s="304"/>
      <c r="K143" s="304"/>
    </row>
    <row r="144" spans="2:11" s="16" customFormat="1">
      <c r="B144" s="48" t="s">
        <v>236</v>
      </c>
      <c r="C144" s="62">
        <f t="shared" si="15"/>
        <v>3.9347592067988657E-10</v>
      </c>
      <c r="D144" s="62">
        <f t="shared" si="16"/>
        <v>1.7234245325779034E-9</v>
      </c>
      <c r="E144" s="82">
        <v>1.2E-4</v>
      </c>
      <c r="F144" s="52" t="s">
        <v>245</v>
      </c>
      <c r="G144" s="301" t="s">
        <v>246</v>
      </c>
      <c r="I144" s="304"/>
      <c r="J144" s="304"/>
      <c r="K144" s="304"/>
    </row>
    <row r="145" spans="2:11" s="16" customFormat="1">
      <c r="B145" s="48" t="s">
        <v>237</v>
      </c>
      <c r="C145" s="62">
        <f t="shared" si="15"/>
        <v>1.0820587818696882E-9</v>
      </c>
      <c r="D145" s="62">
        <f t="shared" si="16"/>
        <v>4.7394174645892344E-9</v>
      </c>
      <c r="E145" s="82">
        <v>3.3E-4</v>
      </c>
      <c r="F145" s="52" t="s">
        <v>245</v>
      </c>
      <c r="G145" s="301" t="s">
        <v>246</v>
      </c>
      <c r="I145" s="304"/>
      <c r="J145" s="304"/>
      <c r="K145" s="304"/>
    </row>
    <row r="146" spans="2:11" s="16" customFormat="1">
      <c r="B146" s="48" t="s">
        <v>238</v>
      </c>
      <c r="C146" s="62">
        <f t="shared" si="15"/>
        <v>5.3414356232294609E-8</v>
      </c>
      <c r="D146" s="62">
        <f t="shared" si="16"/>
        <v>2.3395488029745038E-7</v>
      </c>
      <c r="E146" s="82">
        <v>1.6289999999999999E-2</v>
      </c>
      <c r="F146" s="52" t="s">
        <v>245</v>
      </c>
      <c r="G146" s="301" t="s">
        <v>246</v>
      </c>
      <c r="I146" s="304"/>
      <c r="J146" s="304"/>
      <c r="K146" s="304"/>
    </row>
    <row r="147" spans="2:11" s="16" customFormat="1">
      <c r="B147" s="48" t="s">
        <v>239</v>
      </c>
      <c r="C147" s="62">
        <f t="shared" si="15"/>
        <v>8.8532082152974484E-10</v>
      </c>
      <c r="D147" s="62">
        <f t="shared" si="16"/>
        <v>3.8777051983002824E-9</v>
      </c>
      <c r="E147" s="82">
        <v>2.7E-4</v>
      </c>
      <c r="F147" s="52" t="s">
        <v>245</v>
      </c>
      <c r="G147" s="301" t="s">
        <v>246</v>
      </c>
      <c r="I147" s="304"/>
      <c r="J147" s="304"/>
      <c r="K147" s="304"/>
    </row>
    <row r="148" spans="2:11" s="16" customFormat="1">
      <c r="B148" s="48" t="s">
        <v>91</v>
      </c>
      <c r="C148" s="62">
        <f t="shared" si="15"/>
        <v>2.2821603399433421E-8</v>
      </c>
      <c r="D148" s="62">
        <f t="shared" si="16"/>
        <v>9.9958622889518393E-8</v>
      </c>
      <c r="E148" s="82">
        <v>6.96E-3</v>
      </c>
      <c r="F148" s="52" t="s">
        <v>245</v>
      </c>
      <c r="G148" s="301" t="s">
        <v>246</v>
      </c>
      <c r="I148" s="304"/>
      <c r="J148" s="304"/>
      <c r="K148" s="304"/>
    </row>
    <row r="149" spans="2:11" s="16" customFormat="1">
      <c r="B149" s="48" t="s">
        <v>240</v>
      </c>
      <c r="C149" s="62">
        <f t="shared" si="15"/>
        <v>1.0954041735127475E-6</v>
      </c>
      <c r="D149" s="62">
        <f t="shared" si="16"/>
        <v>4.7978702799858342E-6</v>
      </c>
      <c r="E149" s="82">
        <v>0.33406999999999998</v>
      </c>
      <c r="F149" s="52" t="s">
        <v>245</v>
      </c>
      <c r="G149" s="301" t="s">
        <v>246</v>
      </c>
      <c r="I149" s="304"/>
      <c r="J149" s="304"/>
      <c r="K149" s="304"/>
    </row>
    <row r="150" spans="2:11" s="16" customFormat="1">
      <c r="B150" s="48" t="s">
        <v>241</v>
      </c>
      <c r="C150" s="62">
        <f t="shared" si="15"/>
        <v>1.1050115439093482E-12</v>
      </c>
      <c r="D150" s="62">
        <f t="shared" si="16"/>
        <v>4.8399505623229451E-12</v>
      </c>
      <c r="E150" s="82">
        <v>3.3700000000000001E-7</v>
      </c>
      <c r="F150" s="52" t="s">
        <v>245</v>
      </c>
      <c r="G150" s="301" t="s">
        <v>246</v>
      </c>
      <c r="I150" s="304"/>
      <c r="J150" s="304"/>
      <c r="K150" s="304"/>
    </row>
    <row r="151" spans="2:11" s="16" customFormat="1">
      <c r="B151" s="48" t="s">
        <v>242</v>
      </c>
      <c r="C151" s="62">
        <f t="shared" si="15"/>
        <v>5.5742422096317273E-10</v>
      </c>
      <c r="D151" s="62">
        <f t="shared" si="16"/>
        <v>2.4415180878186966E-9</v>
      </c>
      <c r="E151" s="82">
        <v>1.7000000000000001E-4</v>
      </c>
      <c r="F151" s="52" t="s">
        <v>245</v>
      </c>
      <c r="G151" s="301" t="s">
        <v>246</v>
      </c>
      <c r="I151" s="304"/>
      <c r="J151" s="304"/>
      <c r="K151" s="304"/>
    </row>
    <row r="152" spans="2:11" s="16" customFormat="1">
      <c r="B152" s="48" t="s">
        <v>243</v>
      </c>
      <c r="C152" s="62">
        <f t="shared" si="15"/>
        <v>3.9347592067988657E-10</v>
      </c>
      <c r="D152" s="62">
        <f t="shared" si="16"/>
        <v>1.7234245325779034E-9</v>
      </c>
      <c r="E152" s="82">
        <v>1.2E-4</v>
      </c>
      <c r="F152" s="52" t="s">
        <v>245</v>
      </c>
      <c r="G152" s="301" t="s">
        <v>246</v>
      </c>
      <c r="I152" s="304"/>
      <c r="J152" s="304"/>
      <c r="K152" s="304"/>
    </row>
    <row r="153" spans="2:11" s="16" customFormat="1">
      <c r="B153" s="48" t="s">
        <v>244</v>
      </c>
      <c r="C153" s="62">
        <f t="shared" si="15"/>
        <v>6.9432105169971654E-7</v>
      </c>
      <c r="D153" s="62">
        <f t="shared" si="16"/>
        <v>3.0411262064447588E-6</v>
      </c>
      <c r="E153" s="82">
        <v>0.21174999999999999</v>
      </c>
      <c r="F153" s="52" t="s">
        <v>245</v>
      </c>
      <c r="G153" s="301" t="s">
        <v>246</v>
      </c>
      <c r="I153" s="304"/>
      <c r="J153" s="304"/>
      <c r="K153" s="304"/>
    </row>
    <row r="154" spans="2:11" s="16" customFormat="1">
      <c r="B154" s="58"/>
      <c r="C154" s="64"/>
      <c r="D154" s="65"/>
      <c r="E154" s="50"/>
      <c r="F154" s="60"/>
      <c r="G154" s="300"/>
      <c r="I154" s="304"/>
      <c r="J154" s="304"/>
      <c r="K154" s="304"/>
    </row>
    <row r="155" spans="2:11" s="16" customFormat="1">
      <c r="B155" s="43" t="s">
        <v>44</v>
      </c>
      <c r="C155" s="44"/>
      <c r="D155" s="68"/>
      <c r="E155" s="69"/>
      <c r="F155" s="46"/>
      <c r="G155" s="300"/>
      <c r="I155" s="304"/>
      <c r="J155" s="304"/>
      <c r="K155" s="304"/>
    </row>
    <row r="156" spans="2:11" s="16" customFormat="1" ht="14.25">
      <c r="B156" s="70" t="s">
        <v>150</v>
      </c>
      <c r="C156" s="71">
        <f>D156/$C$12*2000</f>
        <v>299362.17842465034</v>
      </c>
      <c r="D156" s="72">
        <f>E156*'Key Inputs'!$D$45*$C$16/2000</f>
        <v>1311206.3414999684</v>
      </c>
      <c r="E156" s="323">
        <f>CONVERT(274.32,"kg","lbm")</f>
        <v>604.77207762555622</v>
      </c>
      <c r="F156" s="52" t="s">
        <v>45</v>
      </c>
      <c r="G156" s="314" t="s">
        <v>282</v>
      </c>
      <c r="I156" s="304"/>
      <c r="J156" s="304"/>
      <c r="K156" s="304"/>
    </row>
    <row r="157" spans="2:11" s="16" customFormat="1" ht="14.25">
      <c r="B157" s="70" t="s">
        <v>151</v>
      </c>
      <c r="C157" s="49">
        <f>D157/$C$12*2000</f>
        <v>2.4008340351933166E-2</v>
      </c>
      <c r="D157" s="72">
        <f>E157*'Key Inputs'!$D$45*$C$16/2000</f>
        <v>0.10515653074146726</v>
      </c>
      <c r="E157" s="325">
        <f>CONVERT(0.000022,"kg","lbm")</f>
        <v>4.8501697680673063E-5</v>
      </c>
      <c r="F157" s="52" t="s">
        <v>45</v>
      </c>
      <c r="G157" s="314" t="s">
        <v>103</v>
      </c>
      <c r="I157" s="304"/>
      <c r="J157" s="304"/>
      <c r="K157" s="304"/>
    </row>
    <row r="158" spans="2:11" s="16" customFormat="1" ht="14.25">
      <c r="B158" s="70" t="s">
        <v>152</v>
      </c>
      <c r="C158" s="49">
        <f>D158/$C$12*2000</f>
        <v>0.1091288197815144</v>
      </c>
      <c r="D158" s="72">
        <f>E158*'Key Inputs'!$D$45*$C$16/2000</f>
        <v>0.47798423064303308</v>
      </c>
      <c r="E158" s="325">
        <f>CONVERT(0.0001,"kg","lbm")</f>
        <v>2.2046226218487756E-4</v>
      </c>
      <c r="F158" s="52" t="s">
        <v>45</v>
      </c>
      <c r="G158" s="314" t="s">
        <v>103</v>
      </c>
      <c r="I158" s="304"/>
      <c r="J158" s="304"/>
      <c r="K158" s="304"/>
    </row>
    <row r="159" spans="2:11" s="16" customFormat="1" ht="14.25">
      <c r="B159" s="70" t="s">
        <v>153</v>
      </c>
      <c r="C159" s="71">
        <f>D159/$C$12*2000</f>
        <v>299395.299021454</v>
      </c>
      <c r="D159" s="73">
        <f>D156*'Key Inputs'!$C$62+D157*'Key Inputs'!$C$63+D158*'Key Inputs'!$C$64</f>
        <v>1311351.4097139684</v>
      </c>
      <c r="E159" s="74" t="s">
        <v>46</v>
      </c>
      <c r="F159" s="75" t="s">
        <v>46</v>
      </c>
      <c r="G159" s="300" t="s">
        <v>47</v>
      </c>
      <c r="I159" s="304"/>
      <c r="J159" s="304"/>
      <c r="K159" s="304"/>
    </row>
    <row r="160" spans="2:11" s="18" customFormat="1" ht="6" customHeight="1" thickBot="1">
      <c r="B160" s="38"/>
      <c r="C160" s="76"/>
      <c r="D160" s="77"/>
      <c r="E160" s="78"/>
      <c r="F160" s="78"/>
      <c r="G160" s="299"/>
      <c r="I160" s="307"/>
      <c r="J160" s="307"/>
      <c r="K160" s="307"/>
    </row>
  </sheetData>
  <mergeCells count="2">
    <mergeCell ref="I59:K59"/>
    <mergeCell ref="I22:K22"/>
  </mergeCells>
  <pageMargins left="0.2" right="0.2" top="0.25" bottom="0.25" header="0.05" footer="0.05"/>
  <pageSetup scale="60" fitToHeight="3" orientation="portrait" horizontalDpi="1200" verticalDpi="1200" r:id="rId1"/>
  <rowBreaks count="1" manualBreakCount="1">
    <brk id="110" max="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4EF7E-6248-42C5-BE71-6D892AC29DA3}">
  <sheetPr>
    <tabColor rgb="FFC00000"/>
  </sheetPr>
  <dimension ref="B2:W81"/>
  <sheetViews>
    <sheetView workbookViewId="0">
      <pane xSplit="2" ySplit="3" topLeftCell="C4" activePane="bottomRight" state="frozen"/>
      <selection pane="topRight" activeCell="C1" sqref="C1"/>
      <selection pane="bottomLeft" activeCell="A3" sqref="A3"/>
      <selection pane="bottomRight" activeCell="S8" sqref="S8"/>
    </sheetView>
  </sheetViews>
  <sheetFormatPr defaultColWidth="8.7109375" defaultRowHeight="15"/>
  <cols>
    <col min="1" max="1" width="2.5703125" style="589" customWidth="1"/>
    <col min="2" max="2" width="27.5703125" style="589" customWidth="1"/>
    <col min="3" max="22" width="10.5703125" style="589" customWidth="1"/>
    <col min="23" max="23" width="8.7109375" style="573"/>
    <col min="24" max="16384" width="8.7109375" style="589"/>
  </cols>
  <sheetData>
    <row r="2" spans="2:23">
      <c r="B2" s="593" t="s">
        <v>659</v>
      </c>
      <c r="C2" s="594"/>
      <c r="D2" s="594"/>
      <c r="E2" s="594"/>
      <c r="F2" s="594"/>
      <c r="G2" s="594"/>
      <c r="H2" s="594"/>
      <c r="I2" s="594"/>
      <c r="J2" s="594"/>
      <c r="K2" s="594"/>
      <c r="L2" s="594"/>
      <c r="M2" s="594"/>
      <c r="N2" s="594"/>
      <c r="O2" s="594"/>
      <c r="P2" s="594"/>
      <c r="Q2" s="594"/>
      <c r="R2" s="594"/>
      <c r="S2" s="594"/>
      <c r="T2" s="594"/>
      <c r="U2" s="594"/>
      <c r="V2" s="595"/>
    </row>
    <row r="3" spans="2:23" ht="23.25">
      <c r="B3" s="596" t="s">
        <v>660</v>
      </c>
      <c r="C3" s="597" t="s">
        <v>661</v>
      </c>
      <c r="D3" s="597" t="s">
        <v>662</v>
      </c>
      <c r="E3" s="597" t="s">
        <v>663</v>
      </c>
      <c r="F3" s="597" t="s">
        <v>664</v>
      </c>
      <c r="G3" s="598" t="s">
        <v>665</v>
      </c>
      <c r="H3" s="598" t="s">
        <v>666</v>
      </c>
      <c r="I3" s="598" t="s">
        <v>667</v>
      </c>
      <c r="J3" s="598" t="s">
        <v>668</v>
      </c>
      <c r="K3" s="598" t="s">
        <v>669</v>
      </c>
      <c r="L3" s="598" t="s">
        <v>670</v>
      </c>
      <c r="M3" s="598" t="s">
        <v>671</v>
      </c>
      <c r="N3" s="598" t="s">
        <v>672</v>
      </c>
      <c r="O3" s="598" t="s">
        <v>673</v>
      </c>
      <c r="P3" s="598" t="s">
        <v>674</v>
      </c>
      <c r="Q3" s="598" t="s">
        <v>675</v>
      </c>
      <c r="R3" s="598" t="s">
        <v>676</v>
      </c>
      <c r="S3" s="597" t="s">
        <v>677</v>
      </c>
      <c r="T3" s="597" t="s">
        <v>678</v>
      </c>
      <c r="U3" s="599" t="s">
        <v>679</v>
      </c>
      <c r="V3" s="598" t="s">
        <v>680</v>
      </c>
    </row>
    <row r="4" spans="2:23">
      <c r="B4" s="600" t="s">
        <v>681</v>
      </c>
      <c r="C4" s="601"/>
      <c r="D4" s="601"/>
      <c r="E4" s="601"/>
      <c r="F4" s="601"/>
      <c r="G4" s="601"/>
      <c r="H4" s="601"/>
      <c r="I4" s="601"/>
      <c r="J4" s="601"/>
      <c r="K4" s="601"/>
      <c r="L4" s="601"/>
      <c r="M4" s="601"/>
      <c r="N4" s="601"/>
      <c r="O4" s="601"/>
      <c r="P4" s="601"/>
      <c r="Q4" s="601"/>
      <c r="R4" s="601"/>
      <c r="S4" s="601"/>
      <c r="T4" s="601"/>
      <c r="U4" s="601"/>
      <c r="V4" s="602"/>
      <c r="W4" s="573" t="s">
        <v>733</v>
      </c>
    </row>
    <row r="5" spans="2:23">
      <c r="B5" s="603" t="s">
        <v>682</v>
      </c>
      <c r="C5" s="604"/>
      <c r="D5" s="604"/>
      <c r="E5" s="604"/>
      <c r="F5" s="604"/>
      <c r="G5" s="604"/>
      <c r="H5" s="604"/>
      <c r="I5" s="604"/>
      <c r="J5" s="604"/>
      <c r="K5" s="604"/>
      <c r="L5" s="604"/>
      <c r="M5" s="604"/>
      <c r="N5" s="604"/>
      <c r="O5" s="604"/>
      <c r="P5" s="604"/>
      <c r="Q5" s="604"/>
      <c r="R5" s="604"/>
      <c r="S5" s="604"/>
      <c r="T5" s="604"/>
      <c r="U5" s="604"/>
      <c r="V5" s="605"/>
    </row>
    <row r="6" spans="2:23">
      <c r="B6" s="606" t="s">
        <v>683</v>
      </c>
      <c r="C6" s="607">
        <v>26.850107465096901</v>
      </c>
      <c r="D6" s="607">
        <v>26.8068955729434</v>
      </c>
      <c r="E6" s="607">
        <v>27.0212613746091</v>
      </c>
      <c r="F6" s="607">
        <v>27.8619306181049</v>
      </c>
      <c r="G6" s="607">
        <v>26.622432689950902</v>
      </c>
      <c r="H6" s="607">
        <v>26.622432689950902</v>
      </c>
      <c r="I6" s="608" t="s">
        <v>684</v>
      </c>
      <c r="J6" s="608" t="s">
        <v>684</v>
      </c>
      <c r="K6" s="608" t="s">
        <v>684</v>
      </c>
      <c r="L6" s="607">
        <v>26.622432689950902</v>
      </c>
      <c r="M6" s="607">
        <v>26.622432689950902</v>
      </c>
      <c r="N6" s="607">
        <v>26.622432689950902</v>
      </c>
      <c r="O6" s="607">
        <v>26.622432689950902</v>
      </c>
      <c r="P6" s="607">
        <v>26.622432689951001</v>
      </c>
      <c r="Q6" s="607">
        <v>26.622432689950902</v>
      </c>
      <c r="R6" s="607">
        <v>26.622432689950902</v>
      </c>
      <c r="S6" s="607">
        <v>26.622432689950902</v>
      </c>
      <c r="T6" s="609">
        <v>27.8619306181049</v>
      </c>
      <c r="U6" s="610">
        <v>-4.4487151487935798E-2</v>
      </c>
      <c r="V6" s="611" t="s">
        <v>685</v>
      </c>
      <c r="W6" s="646">
        <f>MAX(C6:F6,S6)</f>
        <v>27.8619306181049</v>
      </c>
    </row>
    <row r="7" spans="2:23">
      <c r="B7" s="606" t="s">
        <v>686</v>
      </c>
      <c r="C7" s="607">
        <v>60.771382443007198</v>
      </c>
      <c r="D7" s="607">
        <v>60.802708957604501</v>
      </c>
      <c r="E7" s="607">
        <v>60.503571742179098</v>
      </c>
      <c r="F7" s="607">
        <v>60.563794568457901</v>
      </c>
      <c r="G7" s="607">
        <v>60.537515623333803</v>
      </c>
      <c r="H7" s="607">
        <v>60.537515623333697</v>
      </c>
      <c r="I7" s="607">
        <v>60.537515623333803</v>
      </c>
      <c r="J7" s="607">
        <v>60.537515623333697</v>
      </c>
      <c r="K7" s="607">
        <v>60.537515623333903</v>
      </c>
      <c r="L7" s="607">
        <v>60.537515623333597</v>
      </c>
      <c r="M7" s="607">
        <v>60.537515623334002</v>
      </c>
      <c r="N7" s="607">
        <v>60.537515623333803</v>
      </c>
      <c r="O7" s="607">
        <v>60.537515623333803</v>
      </c>
      <c r="P7" s="607">
        <v>60.537515623333803</v>
      </c>
      <c r="Q7" s="607">
        <v>60.537515623333597</v>
      </c>
      <c r="R7" s="607">
        <v>60.537515623333697</v>
      </c>
      <c r="S7" s="607">
        <v>60.537515623333597</v>
      </c>
      <c r="T7" s="609">
        <v>60.563794568457901</v>
      </c>
      <c r="U7" s="612">
        <v>-4.3390519553074898E-4</v>
      </c>
      <c r="V7" s="611" t="s">
        <v>685</v>
      </c>
      <c r="W7" s="646">
        <f t="shared" ref="W7:W70" si="0">MAX(C7:F7,S7)</f>
        <v>60.802708957604501</v>
      </c>
    </row>
    <row r="8" spans="2:23">
      <c r="B8" s="606" t="s">
        <v>687</v>
      </c>
      <c r="C8" s="607">
        <v>26.819692165702001</v>
      </c>
      <c r="D8" s="607">
        <v>26.785420564328199</v>
      </c>
      <c r="E8" s="607">
        <v>27.133434916554101</v>
      </c>
      <c r="F8" s="608" t="s">
        <v>684</v>
      </c>
      <c r="G8" s="608" t="s">
        <v>684</v>
      </c>
      <c r="H8" s="608" t="s">
        <v>684</v>
      </c>
      <c r="I8" s="608" t="s">
        <v>684</v>
      </c>
      <c r="J8" s="608" t="s">
        <v>684</v>
      </c>
      <c r="K8" s="608" t="s">
        <v>684</v>
      </c>
      <c r="L8" s="607">
        <v>26.707578415382901</v>
      </c>
      <c r="M8" s="607">
        <v>26.707578415382901</v>
      </c>
      <c r="N8" s="607">
        <v>26.707578415383001</v>
      </c>
      <c r="O8" s="607">
        <v>26.707578415383001</v>
      </c>
      <c r="P8" s="607">
        <v>26.707578415383001</v>
      </c>
      <c r="Q8" s="607">
        <v>26.707578415382901</v>
      </c>
      <c r="R8" s="607">
        <v>26.707578415382901</v>
      </c>
      <c r="S8" s="607">
        <v>26.707578415382901</v>
      </c>
      <c r="T8" s="613" t="s">
        <v>684</v>
      </c>
      <c r="U8" s="614" t="s">
        <v>684</v>
      </c>
      <c r="V8" s="615" t="s">
        <v>685</v>
      </c>
      <c r="W8" s="646">
        <f t="shared" si="0"/>
        <v>27.133434916554101</v>
      </c>
    </row>
    <row r="9" spans="2:23">
      <c r="B9" s="606" t="s">
        <v>688</v>
      </c>
      <c r="C9" s="607">
        <v>60.771382443007099</v>
      </c>
      <c r="D9" s="607">
        <v>60.802708957604302</v>
      </c>
      <c r="E9" s="607">
        <v>60.503571742178899</v>
      </c>
      <c r="F9" s="607">
        <v>60.563794568457901</v>
      </c>
      <c r="G9" s="607">
        <v>60.537515623333803</v>
      </c>
      <c r="H9" s="607">
        <v>60.537515623333697</v>
      </c>
      <c r="I9" s="607">
        <v>60.537515623333697</v>
      </c>
      <c r="J9" s="608" t="s">
        <v>684</v>
      </c>
      <c r="K9" s="607">
        <v>60.537515623333803</v>
      </c>
      <c r="L9" s="607">
        <v>60.537515623333697</v>
      </c>
      <c r="M9" s="607">
        <v>60.537515623333697</v>
      </c>
      <c r="N9" s="607">
        <v>60.537515623333803</v>
      </c>
      <c r="O9" s="607">
        <v>60.537515623333903</v>
      </c>
      <c r="P9" s="607">
        <v>60.537515623333697</v>
      </c>
      <c r="Q9" s="607">
        <v>60.537515623333697</v>
      </c>
      <c r="R9" s="607">
        <v>60.537515623333803</v>
      </c>
      <c r="S9" s="607">
        <v>60.537515623333803</v>
      </c>
      <c r="T9" s="609">
        <v>60.563794568457901</v>
      </c>
      <c r="U9" s="610">
        <v>-4.3390519552675999E-4</v>
      </c>
      <c r="V9" s="611" t="s">
        <v>685</v>
      </c>
      <c r="W9" s="646">
        <f t="shared" si="0"/>
        <v>60.802708957604302</v>
      </c>
    </row>
    <row r="10" spans="2:23">
      <c r="B10" s="606" t="s">
        <v>689</v>
      </c>
      <c r="C10" s="607">
        <v>26.294183956775399</v>
      </c>
      <c r="D10" s="607">
        <v>27.4285585948899</v>
      </c>
      <c r="E10" s="607">
        <v>29.926845813808601</v>
      </c>
      <c r="F10" s="607">
        <v>31.525476387567998</v>
      </c>
      <c r="G10" s="607">
        <v>31.106450800816798</v>
      </c>
      <c r="H10" s="607">
        <v>31.106450800816699</v>
      </c>
      <c r="I10" s="607">
        <v>31.106450800816599</v>
      </c>
      <c r="J10" s="607">
        <v>31.106450800816699</v>
      </c>
      <c r="K10" s="607">
        <v>31.106450800816699</v>
      </c>
      <c r="L10" s="607">
        <v>31.106450800816699</v>
      </c>
      <c r="M10" s="607">
        <v>31.106450800816699</v>
      </c>
      <c r="N10" s="607">
        <v>31.106450800816699</v>
      </c>
      <c r="O10" s="607">
        <v>31.106450800816699</v>
      </c>
      <c r="P10" s="607">
        <v>31.106450800816699</v>
      </c>
      <c r="Q10" s="607">
        <v>31.106450800816699</v>
      </c>
      <c r="R10" s="607">
        <v>31.106450800816798</v>
      </c>
      <c r="S10" s="607">
        <v>31.106450800816699</v>
      </c>
      <c r="T10" s="609">
        <v>31.525476387567998</v>
      </c>
      <c r="U10" s="610">
        <v>-1.3291649635993601E-2</v>
      </c>
      <c r="V10" s="611" t="s">
        <v>685</v>
      </c>
      <c r="W10" s="646">
        <f t="shared" si="0"/>
        <v>31.525476387567998</v>
      </c>
    </row>
    <row r="11" spans="2:23">
      <c r="B11" s="606" t="s">
        <v>690</v>
      </c>
      <c r="C11" s="607">
        <v>27.016681320613401</v>
      </c>
      <c r="D11" s="607">
        <v>28.035049174590601</v>
      </c>
      <c r="E11" s="607">
        <v>30.629932666428001</v>
      </c>
      <c r="F11" s="607">
        <v>32.162728181130198</v>
      </c>
      <c r="G11" s="607">
        <v>31.544565769975499</v>
      </c>
      <c r="H11" s="607">
        <v>31.544565769975399</v>
      </c>
      <c r="I11" s="607">
        <v>31.544565769975499</v>
      </c>
      <c r="J11" s="607">
        <v>31.544565769975399</v>
      </c>
      <c r="K11" s="607">
        <v>31.544565769975499</v>
      </c>
      <c r="L11" s="607">
        <v>31.544565769975399</v>
      </c>
      <c r="M11" s="607">
        <v>31.544565769975499</v>
      </c>
      <c r="N11" s="607">
        <v>31.544565769975499</v>
      </c>
      <c r="O11" s="607">
        <v>31.544565769975399</v>
      </c>
      <c r="P11" s="607">
        <v>31.544565769975499</v>
      </c>
      <c r="Q11" s="607">
        <v>31.544565769975499</v>
      </c>
      <c r="R11" s="607">
        <v>31.544565769975499</v>
      </c>
      <c r="S11" s="607">
        <v>31.544565769975499</v>
      </c>
      <c r="T11" s="609">
        <v>32.162728181130198</v>
      </c>
      <c r="U11" s="612">
        <v>-1.9219837560838501E-2</v>
      </c>
      <c r="V11" s="611" t="s">
        <v>685</v>
      </c>
      <c r="W11" s="646">
        <f t="shared" si="0"/>
        <v>32.162728181130198</v>
      </c>
    </row>
    <row r="12" spans="2:23">
      <c r="B12" s="606" t="s">
        <v>691</v>
      </c>
      <c r="C12" s="607">
        <v>27.0534958901574</v>
      </c>
      <c r="D12" s="607">
        <v>28.103392421456999</v>
      </c>
      <c r="E12" s="607">
        <v>30.513600597612701</v>
      </c>
      <c r="F12" s="607">
        <v>32.168545756874799</v>
      </c>
      <c r="G12" s="607">
        <v>32.916587571384902</v>
      </c>
      <c r="H12" s="607">
        <v>32.916587571384802</v>
      </c>
      <c r="I12" s="607">
        <v>32.916587571384902</v>
      </c>
      <c r="J12" s="607">
        <v>32.916587571384902</v>
      </c>
      <c r="K12" s="607">
        <v>32.916587571384802</v>
      </c>
      <c r="L12" s="607">
        <v>32.916587571384902</v>
      </c>
      <c r="M12" s="607">
        <v>32.916587571384802</v>
      </c>
      <c r="N12" s="607">
        <v>32.916587571384802</v>
      </c>
      <c r="O12" s="607">
        <v>32.916587571384802</v>
      </c>
      <c r="P12" s="607">
        <v>32.916587571384902</v>
      </c>
      <c r="Q12" s="607">
        <v>32.916587571384902</v>
      </c>
      <c r="R12" s="607">
        <v>32.916587571384902</v>
      </c>
      <c r="S12" s="607">
        <v>32.916587571384902</v>
      </c>
      <c r="T12" s="609">
        <v>32.168545756874799</v>
      </c>
      <c r="U12" s="616">
        <v>2.32538275172165E-2</v>
      </c>
      <c r="V12" s="611" t="s">
        <v>685</v>
      </c>
      <c r="W12" s="646">
        <f t="shared" si="0"/>
        <v>32.916587571384902</v>
      </c>
    </row>
    <row r="13" spans="2:23">
      <c r="B13" s="606" t="s">
        <v>692</v>
      </c>
      <c r="C13" s="617">
        <v>1.9118733333332898E-2</v>
      </c>
      <c r="D13" s="617">
        <v>3.1666555555556197E-2</v>
      </c>
      <c r="E13" s="617">
        <v>7.3885777777780099E-3</v>
      </c>
      <c r="F13" s="617">
        <v>6.3386088333332993E-2</v>
      </c>
      <c r="G13" s="617">
        <v>4.0197299999999998E-2</v>
      </c>
      <c r="H13" s="617">
        <v>4.0197299999999998E-2</v>
      </c>
      <c r="I13" s="617">
        <v>4.0197299999999998E-2</v>
      </c>
      <c r="J13" s="608" t="s">
        <v>684</v>
      </c>
      <c r="K13" s="617">
        <v>4.0197299999999901E-2</v>
      </c>
      <c r="L13" s="617">
        <v>4.0197299999999998E-2</v>
      </c>
      <c r="M13" s="617">
        <v>4.0197299999999998E-2</v>
      </c>
      <c r="N13" s="617">
        <v>4.0197299999999998E-2</v>
      </c>
      <c r="O13" s="617">
        <v>4.0197299999999998E-2</v>
      </c>
      <c r="P13" s="617">
        <v>4.0197299999999998E-2</v>
      </c>
      <c r="Q13" s="617">
        <v>4.0197299999999998E-2</v>
      </c>
      <c r="R13" s="617">
        <v>4.0197299999999901E-2</v>
      </c>
      <c r="S13" s="617">
        <v>4.0197299999999998E-2</v>
      </c>
      <c r="T13" s="618">
        <v>6.3386088333332993E-2</v>
      </c>
      <c r="U13" s="612">
        <v>-0.36583403303558398</v>
      </c>
      <c r="V13" s="611" t="s">
        <v>693</v>
      </c>
      <c r="W13" s="646">
        <f t="shared" si="0"/>
        <v>6.3386088333332993E-2</v>
      </c>
    </row>
    <row r="14" spans="2:23">
      <c r="B14" s="606" t="s">
        <v>694</v>
      </c>
      <c r="C14" s="617">
        <v>5.4268785185185103E-2</v>
      </c>
      <c r="D14" s="617">
        <v>7.4603140740740898E-2</v>
      </c>
      <c r="E14" s="617">
        <v>5.3468148148148202E-2</v>
      </c>
      <c r="F14" s="617">
        <v>5.6754499999999999E-2</v>
      </c>
      <c r="G14" s="617">
        <v>5.7980999999999901E-2</v>
      </c>
      <c r="H14" s="617">
        <v>5.7980999999999901E-2</v>
      </c>
      <c r="I14" s="617">
        <v>5.7980999999999797E-2</v>
      </c>
      <c r="J14" s="608" t="s">
        <v>684</v>
      </c>
      <c r="K14" s="617">
        <v>5.7980999999999998E-2</v>
      </c>
      <c r="L14" s="617">
        <v>5.7980999999999901E-2</v>
      </c>
      <c r="M14" s="617">
        <v>5.7980999999999797E-2</v>
      </c>
      <c r="N14" s="617">
        <v>5.7980999999999901E-2</v>
      </c>
      <c r="O14" s="617">
        <v>5.7981000000000102E-2</v>
      </c>
      <c r="P14" s="617">
        <v>5.7980999999999901E-2</v>
      </c>
      <c r="Q14" s="617">
        <v>5.7980999999999998E-2</v>
      </c>
      <c r="R14" s="617">
        <v>5.7980999999999998E-2</v>
      </c>
      <c r="S14" s="617">
        <v>5.7980999999999901E-2</v>
      </c>
      <c r="T14" s="618">
        <v>5.6754499999999999E-2</v>
      </c>
      <c r="U14" s="619">
        <v>2.16106211842217E-2</v>
      </c>
      <c r="V14" s="611" t="s">
        <v>693</v>
      </c>
      <c r="W14" s="646">
        <f t="shared" si="0"/>
        <v>7.4603140740740898E-2</v>
      </c>
    </row>
    <row r="15" spans="2:23">
      <c r="B15" s="606" t="s">
        <v>695</v>
      </c>
      <c r="C15" s="617">
        <v>4.0333333333329897E-3</v>
      </c>
      <c r="D15" s="617">
        <v>4.2777777777779904E-3</v>
      </c>
      <c r="E15" s="617">
        <v>1.955555555556E-3</v>
      </c>
      <c r="F15" s="617">
        <v>1.74166666666701E-3</v>
      </c>
      <c r="G15" s="617">
        <v>2.4444444444439999E-3</v>
      </c>
      <c r="H15" s="617">
        <v>2.4444444444439999E-3</v>
      </c>
      <c r="I15" s="617">
        <v>2.4444444444439999E-3</v>
      </c>
      <c r="J15" s="608" t="s">
        <v>684</v>
      </c>
      <c r="K15" s="617">
        <v>2.4444444444440099E-3</v>
      </c>
      <c r="L15" s="617">
        <v>2.4444444444439999E-3</v>
      </c>
      <c r="M15" s="617">
        <v>2.4444444444439999E-3</v>
      </c>
      <c r="N15" s="617">
        <v>2.4444444444439999E-3</v>
      </c>
      <c r="O15" s="617">
        <v>2.4444444444439999E-3</v>
      </c>
      <c r="P15" s="617">
        <v>2.4444444444439999E-3</v>
      </c>
      <c r="Q15" s="617">
        <v>2.4444444444439999E-3</v>
      </c>
      <c r="R15" s="617">
        <v>2.4444444444439999E-3</v>
      </c>
      <c r="S15" s="617">
        <v>2.4444444444439999E-3</v>
      </c>
      <c r="T15" s="618">
        <v>1.74166666666701E-3</v>
      </c>
      <c r="U15" s="619">
        <v>0.40350877192929502</v>
      </c>
      <c r="V15" s="611" t="s">
        <v>693</v>
      </c>
      <c r="W15" s="646">
        <f t="shared" si="0"/>
        <v>4.2777777777779904E-3</v>
      </c>
    </row>
    <row r="16" spans="2:23">
      <c r="B16" s="606" t="s">
        <v>696</v>
      </c>
      <c r="C16" s="620">
        <v>0.14052744444444401</v>
      </c>
      <c r="D16" s="608" t="s">
        <v>684</v>
      </c>
      <c r="E16" s="608" t="s">
        <v>684</v>
      </c>
      <c r="F16" s="617">
        <v>6.6903283333332994E-2</v>
      </c>
      <c r="G16" s="620">
        <v>0.21760933333333299</v>
      </c>
      <c r="H16" s="620">
        <v>0.21760933333333299</v>
      </c>
      <c r="I16" s="620">
        <v>0.21760933333333399</v>
      </c>
      <c r="J16" s="608" t="s">
        <v>684</v>
      </c>
      <c r="K16" s="620">
        <v>0.21760933333333299</v>
      </c>
      <c r="L16" s="620">
        <v>0.21760933333333299</v>
      </c>
      <c r="M16" s="620">
        <v>0.21760933333333299</v>
      </c>
      <c r="N16" s="620">
        <v>0.21760933333333299</v>
      </c>
      <c r="O16" s="620">
        <v>0.21760933333333299</v>
      </c>
      <c r="P16" s="620">
        <v>0.21760933333333299</v>
      </c>
      <c r="Q16" s="620">
        <v>0.21760933333333299</v>
      </c>
      <c r="R16" s="620">
        <v>0.21760933333333299</v>
      </c>
      <c r="S16" s="620">
        <v>0.21760933333333299</v>
      </c>
      <c r="T16" s="618">
        <v>6.6903283333332994E-2</v>
      </c>
      <c r="U16" s="616">
        <v>2.2525957246243902</v>
      </c>
      <c r="V16" s="611" t="s">
        <v>693</v>
      </c>
      <c r="W16" s="646">
        <f t="shared" si="0"/>
        <v>0.21760933333333299</v>
      </c>
    </row>
    <row r="17" spans="2:23">
      <c r="B17" s="606" t="s">
        <v>697</v>
      </c>
      <c r="C17" s="620">
        <v>0.171781866666667</v>
      </c>
      <c r="D17" s="608" t="s">
        <v>684</v>
      </c>
      <c r="E17" s="608" t="s">
        <v>684</v>
      </c>
      <c r="F17" s="620">
        <v>0.1472277125</v>
      </c>
      <c r="G17" s="620">
        <v>0.14383282222222199</v>
      </c>
      <c r="H17" s="620">
        <v>0.14383282222222199</v>
      </c>
      <c r="I17" s="620">
        <v>0.14383282222222199</v>
      </c>
      <c r="J17" s="608" t="s">
        <v>684</v>
      </c>
      <c r="K17" s="620">
        <v>0.14383282222222199</v>
      </c>
      <c r="L17" s="620">
        <v>0.14383282222222199</v>
      </c>
      <c r="M17" s="620">
        <v>0.14383282222222199</v>
      </c>
      <c r="N17" s="620">
        <v>0.14383282222222199</v>
      </c>
      <c r="O17" s="620">
        <v>0.14383282222222199</v>
      </c>
      <c r="P17" s="620">
        <v>0.14383282222222199</v>
      </c>
      <c r="Q17" s="620">
        <v>0.14383282222222199</v>
      </c>
      <c r="R17" s="620">
        <v>0.14383282222222199</v>
      </c>
      <c r="S17" s="620">
        <v>0.14383282222222199</v>
      </c>
      <c r="T17" s="621">
        <v>0.1472277125</v>
      </c>
      <c r="U17" s="610">
        <v>-2.3058772157299699E-2</v>
      </c>
      <c r="V17" s="611" t="s">
        <v>693</v>
      </c>
      <c r="W17" s="646">
        <f t="shared" si="0"/>
        <v>0.171781866666667</v>
      </c>
    </row>
    <row r="18" spans="2:23">
      <c r="B18" s="606" t="s">
        <v>698</v>
      </c>
      <c r="C18" s="617">
        <v>1.91187333333331E-2</v>
      </c>
      <c r="D18" s="617">
        <v>3.1666555555555899E-2</v>
      </c>
      <c r="E18" s="617">
        <v>7.3885777777780003E-3</v>
      </c>
      <c r="F18" s="617">
        <v>6.3386088333332993E-2</v>
      </c>
      <c r="G18" s="617">
        <v>4.0197299999999998E-2</v>
      </c>
      <c r="H18" s="617">
        <v>4.0197299999999901E-2</v>
      </c>
      <c r="I18" s="617">
        <v>4.0197299999999998E-2</v>
      </c>
      <c r="J18" s="617">
        <v>4.0197299999999998E-2</v>
      </c>
      <c r="K18" s="617">
        <v>4.0197299999999998E-2</v>
      </c>
      <c r="L18" s="617">
        <v>4.0197299999999998E-2</v>
      </c>
      <c r="M18" s="617">
        <v>4.0197299999999998E-2</v>
      </c>
      <c r="N18" s="617">
        <v>4.0197299999999998E-2</v>
      </c>
      <c r="O18" s="617">
        <v>4.0197299999999998E-2</v>
      </c>
      <c r="P18" s="617">
        <v>4.0197299999999998E-2</v>
      </c>
      <c r="Q18" s="617">
        <v>4.0197299999999998E-2</v>
      </c>
      <c r="R18" s="617">
        <v>4.0197299999999998E-2</v>
      </c>
      <c r="S18" s="617">
        <v>4.0197299999999998E-2</v>
      </c>
      <c r="T18" s="618">
        <v>6.3386088333332993E-2</v>
      </c>
      <c r="U18" s="612">
        <v>-0.36583403303558298</v>
      </c>
      <c r="V18" s="611" t="s">
        <v>693</v>
      </c>
      <c r="W18" s="646">
        <f t="shared" si="0"/>
        <v>6.3386088333332993E-2</v>
      </c>
    </row>
    <row r="19" spans="2:23">
      <c r="B19" s="606" t="s">
        <v>699</v>
      </c>
      <c r="C19" s="617">
        <v>5.4268785185184798E-2</v>
      </c>
      <c r="D19" s="617">
        <v>7.4603140740740898E-2</v>
      </c>
      <c r="E19" s="617">
        <v>5.34681481481478E-2</v>
      </c>
      <c r="F19" s="617">
        <v>5.6754499999999999E-2</v>
      </c>
      <c r="G19" s="617">
        <v>5.7980999999999901E-2</v>
      </c>
      <c r="H19" s="617">
        <v>5.7981000000000199E-2</v>
      </c>
      <c r="I19" s="617">
        <v>5.7980999999999998E-2</v>
      </c>
      <c r="J19" s="617">
        <v>5.7980999999999998E-2</v>
      </c>
      <c r="K19" s="617">
        <v>5.7980999999999901E-2</v>
      </c>
      <c r="L19" s="617">
        <v>5.7980999999999901E-2</v>
      </c>
      <c r="M19" s="617">
        <v>5.7980999999999901E-2</v>
      </c>
      <c r="N19" s="617">
        <v>5.7980999999999998E-2</v>
      </c>
      <c r="O19" s="617">
        <v>5.7981000000000199E-2</v>
      </c>
      <c r="P19" s="617">
        <v>5.7980999999999901E-2</v>
      </c>
      <c r="Q19" s="617">
        <v>5.7980999999999998E-2</v>
      </c>
      <c r="R19" s="617">
        <v>5.7980999999999901E-2</v>
      </c>
      <c r="S19" s="617">
        <v>5.7980999999999998E-2</v>
      </c>
      <c r="T19" s="618">
        <v>5.6754499999999999E-2</v>
      </c>
      <c r="U19" s="616">
        <v>2.1610621184224001E-2</v>
      </c>
      <c r="V19" s="611" t="s">
        <v>693</v>
      </c>
      <c r="W19" s="646">
        <f t="shared" si="0"/>
        <v>7.4603140740740898E-2</v>
      </c>
    </row>
    <row r="20" spans="2:23">
      <c r="B20" s="606" t="s">
        <v>700</v>
      </c>
      <c r="C20" s="617">
        <v>3.4222222222219899E-3</v>
      </c>
      <c r="D20" s="617">
        <v>2.6888888888890001E-3</v>
      </c>
      <c r="E20" s="617">
        <v>5.9888888888890001E-3</v>
      </c>
      <c r="F20" s="617">
        <v>3.11666666666699E-3</v>
      </c>
      <c r="G20" s="617">
        <v>2.322222222222E-3</v>
      </c>
      <c r="H20" s="617">
        <v>2.322222222222E-3</v>
      </c>
      <c r="I20" s="617">
        <v>2.322222222222E-3</v>
      </c>
      <c r="J20" s="617">
        <v>2.322222222222E-3</v>
      </c>
      <c r="K20" s="617">
        <v>2.322222222222E-3</v>
      </c>
      <c r="L20" s="617">
        <v>2.322222222222E-3</v>
      </c>
      <c r="M20" s="617">
        <v>2.322222222222E-3</v>
      </c>
      <c r="N20" s="617">
        <v>2.322222222222E-3</v>
      </c>
      <c r="O20" s="617">
        <v>2.322222222222E-3</v>
      </c>
      <c r="P20" s="617">
        <v>2.322222222222E-3</v>
      </c>
      <c r="Q20" s="617">
        <v>2.322222222222E-3</v>
      </c>
      <c r="R20" s="617">
        <v>2.322222222222E-3</v>
      </c>
      <c r="S20" s="617">
        <v>2.322222222222E-3</v>
      </c>
      <c r="T20" s="618">
        <v>3.11666666666699E-3</v>
      </c>
      <c r="U20" s="612">
        <v>-0.25490196078446198</v>
      </c>
      <c r="V20" s="611" t="s">
        <v>693</v>
      </c>
      <c r="W20" s="646">
        <f t="shared" si="0"/>
        <v>5.9888888888890001E-3</v>
      </c>
    </row>
    <row r="21" spans="2:23">
      <c r="B21" s="606" t="s">
        <v>701</v>
      </c>
      <c r="C21" s="620">
        <v>0.14052744444444401</v>
      </c>
      <c r="D21" s="608" t="s">
        <v>684</v>
      </c>
      <c r="E21" s="608" t="s">
        <v>684</v>
      </c>
      <c r="F21" s="617">
        <v>6.6903283333332994E-2</v>
      </c>
      <c r="G21" s="620">
        <v>0.21760933333333299</v>
      </c>
      <c r="H21" s="620">
        <v>0.21760933333333299</v>
      </c>
      <c r="I21" s="620">
        <v>0.21760933333333299</v>
      </c>
      <c r="J21" s="620">
        <v>0.21760933333333299</v>
      </c>
      <c r="K21" s="620">
        <v>0.21760933333333399</v>
      </c>
      <c r="L21" s="620">
        <v>0.21760933333333299</v>
      </c>
      <c r="M21" s="620">
        <v>0.21760933333333299</v>
      </c>
      <c r="N21" s="620">
        <v>0.21760933333333299</v>
      </c>
      <c r="O21" s="620">
        <v>0.21760933333333299</v>
      </c>
      <c r="P21" s="620">
        <v>0.21760933333333299</v>
      </c>
      <c r="Q21" s="620">
        <v>0.21760933333333299</v>
      </c>
      <c r="R21" s="620">
        <v>0.21760933333333399</v>
      </c>
      <c r="S21" s="620">
        <v>0.21760933333333299</v>
      </c>
      <c r="T21" s="618">
        <v>6.6903283333332994E-2</v>
      </c>
      <c r="U21" s="616">
        <v>2.2525957246243902</v>
      </c>
      <c r="V21" s="611" t="s">
        <v>693</v>
      </c>
      <c r="W21" s="646">
        <f t="shared" si="0"/>
        <v>0.21760933333333299</v>
      </c>
    </row>
    <row r="22" spans="2:23">
      <c r="B22" s="606" t="s">
        <v>702</v>
      </c>
      <c r="C22" s="620">
        <v>0.171781866666667</v>
      </c>
      <c r="D22" s="608" t="s">
        <v>684</v>
      </c>
      <c r="E22" s="608" t="s">
        <v>684</v>
      </c>
      <c r="F22" s="620">
        <v>0.1472277125</v>
      </c>
      <c r="G22" s="620">
        <v>0.14383282222222199</v>
      </c>
      <c r="H22" s="620">
        <v>0.14383282222222199</v>
      </c>
      <c r="I22" s="620">
        <v>0.14383282222222199</v>
      </c>
      <c r="J22" s="620">
        <v>0.14383282222222199</v>
      </c>
      <c r="K22" s="620">
        <v>0.14383282222222199</v>
      </c>
      <c r="L22" s="620">
        <v>0.14383282222222199</v>
      </c>
      <c r="M22" s="620">
        <v>0.14383282222222199</v>
      </c>
      <c r="N22" s="620">
        <v>0.14383282222222199</v>
      </c>
      <c r="O22" s="620">
        <v>0.14383282222222199</v>
      </c>
      <c r="P22" s="620">
        <v>0.14383282222222199</v>
      </c>
      <c r="Q22" s="620">
        <v>0.14383282222222199</v>
      </c>
      <c r="R22" s="620">
        <v>0.14383282222222199</v>
      </c>
      <c r="S22" s="620">
        <v>0.14383282222222199</v>
      </c>
      <c r="T22" s="621">
        <v>0.1472277125</v>
      </c>
      <c r="U22" s="612">
        <v>-2.3058772157299699E-2</v>
      </c>
      <c r="V22" s="611" t="s">
        <v>693</v>
      </c>
      <c r="W22" s="646">
        <f t="shared" si="0"/>
        <v>0.171781866666667</v>
      </c>
    </row>
    <row r="23" spans="2:23">
      <c r="B23" s="606" t="s">
        <v>703</v>
      </c>
      <c r="C23" s="620">
        <v>0.20958373333333299</v>
      </c>
      <c r="D23" s="620">
        <v>0.18785115555555601</v>
      </c>
      <c r="E23" s="620">
        <v>0.182813888888889</v>
      </c>
      <c r="F23" s="608" t="s">
        <v>684</v>
      </c>
      <c r="G23" s="620">
        <v>0.21556854814814799</v>
      </c>
      <c r="H23" s="620">
        <v>0.21556854814814799</v>
      </c>
      <c r="I23" s="620">
        <v>0.21556854814814799</v>
      </c>
      <c r="J23" s="608" t="s">
        <v>684</v>
      </c>
      <c r="K23" s="608" t="s">
        <v>684</v>
      </c>
      <c r="L23" s="620">
        <v>0.21556854814814799</v>
      </c>
      <c r="M23" s="620">
        <v>0.21556854814814799</v>
      </c>
      <c r="N23" s="620">
        <v>0.21556854814814799</v>
      </c>
      <c r="O23" s="620">
        <v>0.21556854814814799</v>
      </c>
      <c r="P23" s="620">
        <v>0.21556854814814799</v>
      </c>
      <c r="Q23" s="620">
        <v>0.21556854814814799</v>
      </c>
      <c r="R23" s="620">
        <v>0.21556854814814799</v>
      </c>
      <c r="S23" s="620">
        <v>0.21556854814814799</v>
      </c>
      <c r="T23" s="613" t="s">
        <v>684</v>
      </c>
      <c r="U23" s="622" t="s">
        <v>684</v>
      </c>
      <c r="V23" s="623" t="s">
        <v>693</v>
      </c>
      <c r="W23" s="646">
        <f t="shared" si="0"/>
        <v>0.21556854814814799</v>
      </c>
    </row>
    <row r="24" spans="2:23">
      <c r="B24" s="606" t="s">
        <v>704</v>
      </c>
      <c r="C24" s="620">
        <v>0.20958373333333299</v>
      </c>
      <c r="D24" s="620">
        <v>0.18785115555555601</v>
      </c>
      <c r="E24" s="620">
        <v>0.182813888888889</v>
      </c>
      <c r="F24" s="608" t="s">
        <v>684</v>
      </c>
      <c r="G24" s="620">
        <v>0.21556854814814799</v>
      </c>
      <c r="H24" s="620">
        <v>0.21556854814814799</v>
      </c>
      <c r="I24" s="620">
        <v>0.21556854814814899</v>
      </c>
      <c r="J24" s="608" t="s">
        <v>684</v>
      </c>
      <c r="K24" s="608" t="s">
        <v>684</v>
      </c>
      <c r="L24" s="620">
        <v>0.21556854814814799</v>
      </c>
      <c r="M24" s="620">
        <v>0.21556854814814799</v>
      </c>
      <c r="N24" s="620">
        <v>0.21556854814814799</v>
      </c>
      <c r="O24" s="620">
        <v>0.21556854814814799</v>
      </c>
      <c r="P24" s="620">
        <v>0.21556854814814799</v>
      </c>
      <c r="Q24" s="620">
        <v>0.21556854814814799</v>
      </c>
      <c r="R24" s="620">
        <v>0.21556854814814799</v>
      </c>
      <c r="S24" s="620">
        <v>0.21556854814814799</v>
      </c>
      <c r="T24" s="613" t="s">
        <v>684</v>
      </c>
      <c r="U24" s="614" t="s">
        <v>684</v>
      </c>
      <c r="V24" s="624" t="s">
        <v>693</v>
      </c>
      <c r="W24" s="646">
        <f t="shared" si="0"/>
        <v>0.21556854814814799</v>
      </c>
    </row>
    <row r="25" spans="2:23">
      <c r="B25" s="606" t="s">
        <v>705</v>
      </c>
      <c r="C25" s="617">
        <v>3.2770833333329902E-3</v>
      </c>
      <c r="D25" s="617">
        <v>2.6033333333329999E-3</v>
      </c>
      <c r="E25" s="617">
        <v>2.3375000000000002E-3</v>
      </c>
      <c r="F25" s="617">
        <v>3.6162500000000001E-3</v>
      </c>
      <c r="G25" s="617">
        <v>2.8609166666670001E-3</v>
      </c>
      <c r="H25" s="617">
        <v>2.8609166666670001E-3</v>
      </c>
      <c r="I25" s="617">
        <v>2.8609166666670001E-3</v>
      </c>
      <c r="J25" s="608" t="s">
        <v>684</v>
      </c>
      <c r="K25" s="617">
        <v>2.8609166666670001E-3</v>
      </c>
      <c r="L25" s="617">
        <v>2.86091666666701E-3</v>
      </c>
      <c r="M25" s="617">
        <v>2.8609166666670001E-3</v>
      </c>
      <c r="N25" s="617">
        <v>2.8609166666670001E-3</v>
      </c>
      <c r="O25" s="617">
        <v>2.8609166666669901E-3</v>
      </c>
      <c r="P25" s="617">
        <v>2.8609166666670001E-3</v>
      </c>
      <c r="Q25" s="617">
        <v>2.8609166666670001E-3</v>
      </c>
      <c r="R25" s="617">
        <v>2.8609166666670001E-3</v>
      </c>
      <c r="S25" s="617">
        <v>2.8609166666670001E-3</v>
      </c>
      <c r="T25" s="618">
        <v>3.6162500000000001E-3</v>
      </c>
      <c r="U25" s="610">
        <v>-0.20887198986049099</v>
      </c>
      <c r="V25" s="611" t="s">
        <v>693</v>
      </c>
      <c r="W25" s="646">
        <f t="shared" si="0"/>
        <v>3.6162500000000001E-3</v>
      </c>
    </row>
    <row r="26" spans="2:23">
      <c r="B26" s="606" t="s">
        <v>706</v>
      </c>
      <c r="C26" s="617">
        <v>3.2770833333330101E-3</v>
      </c>
      <c r="D26" s="617">
        <v>2.6033333333329999E-3</v>
      </c>
      <c r="E26" s="617">
        <v>2.3375000000000002E-3</v>
      </c>
      <c r="F26" s="617">
        <v>3.6162500000000001E-3</v>
      </c>
      <c r="G26" s="617">
        <v>2.8609166666670001E-3</v>
      </c>
      <c r="H26" s="617">
        <v>2.8609166666670001E-3</v>
      </c>
      <c r="I26" s="617">
        <v>2.8609166666670001E-3</v>
      </c>
      <c r="J26" s="617">
        <v>2.8609166666670001E-3</v>
      </c>
      <c r="K26" s="617">
        <v>2.8609166666670001E-3</v>
      </c>
      <c r="L26" s="617">
        <v>2.8609166666670001E-3</v>
      </c>
      <c r="M26" s="617">
        <v>2.8609166666670001E-3</v>
      </c>
      <c r="N26" s="617">
        <v>2.8609166666670001E-3</v>
      </c>
      <c r="O26" s="617">
        <v>2.86091666666701E-3</v>
      </c>
      <c r="P26" s="617">
        <v>2.8609166666670001E-3</v>
      </c>
      <c r="Q26" s="617">
        <v>2.8609166666670001E-3</v>
      </c>
      <c r="R26" s="617">
        <v>2.8609166666670001E-3</v>
      </c>
      <c r="S26" s="617">
        <v>2.8609166666669901E-3</v>
      </c>
      <c r="T26" s="618">
        <v>3.6162500000000001E-3</v>
      </c>
      <c r="U26" s="610">
        <v>-0.20887198986049299</v>
      </c>
      <c r="V26" s="611" t="s">
        <v>693</v>
      </c>
      <c r="W26" s="646">
        <f t="shared" si="0"/>
        <v>3.6162500000000001E-3</v>
      </c>
    </row>
    <row r="27" spans="2:23">
      <c r="B27" s="606" t="s">
        <v>707</v>
      </c>
      <c r="C27" s="607">
        <v>23.986038380837499</v>
      </c>
      <c r="D27" s="607">
        <v>23.924152747768101</v>
      </c>
      <c r="E27" s="607">
        <v>24.089716184697298</v>
      </c>
      <c r="F27" s="607">
        <v>26.045249858209601</v>
      </c>
      <c r="G27" s="607">
        <v>25.042254032689701</v>
      </c>
      <c r="H27" s="607">
        <v>25.042254032689701</v>
      </c>
      <c r="I27" s="607">
        <v>25.042254032689801</v>
      </c>
      <c r="J27" s="607">
        <v>25.042254032689801</v>
      </c>
      <c r="K27" s="607">
        <v>25.042254032689801</v>
      </c>
      <c r="L27" s="607">
        <v>25.042254032689701</v>
      </c>
      <c r="M27" s="607">
        <v>25.042254032689701</v>
      </c>
      <c r="N27" s="607">
        <v>25.042254032689701</v>
      </c>
      <c r="O27" s="607">
        <v>25.042254032689701</v>
      </c>
      <c r="P27" s="607">
        <v>25.042254032689801</v>
      </c>
      <c r="Q27" s="607">
        <v>25.042254032689701</v>
      </c>
      <c r="R27" s="607">
        <v>25.042254032689801</v>
      </c>
      <c r="S27" s="607">
        <v>25.042254032689801</v>
      </c>
      <c r="T27" s="609">
        <v>26.045249858209601</v>
      </c>
      <c r="U27" s="610">
        <v>-3.8509740969279699E-2</v>
      </c>
      <c r="V27" s="611" t="s">
        <v>685</v>
      </c>
      <c r="W27" s="646">
        <f t="shared" si="0"/>
        <v>26.045249858209601</v>
      </c>
    </row>
    <row r="28" spans="2:23">
      <c r="B28" s="606" t="s">
        <v>708</v>
      </c>
      <c r="C28" s="607">
        <v>24.345600324086501</v>
      </c>
      <c r="D28" s="607">
        <v>24.485862016489602</v>
      </c>
      <c r="E28" s="607">
        <v>24.4545962296664</v>
      </c>
      <c r="F28" s="607">
        <v>26.366268049814298</v>
      </c>
      <c r="G28" s="607">
        <v>25.209269874330001</v>
      </c>
      <c r="H28" s="607">
        <v>25.209269874330001</v>
      </c>
      <c r="I28" s="607">
        <v>25.209269874330001</v>
      </c>
      <c r="J28" s="607">
        <v>25.209269874330001</v>
      </c>
      <c r="K28" s="607">
        <v>25.209269874330001</v>
      </c>
      <c r="L28" s="607">
        <v>25.209269874330001</v>
      </c>
      <c r="M28" s="607">
        <v>25.209269874330001</v>
      </c>
      <c r="N28" s="607">
        <v>25.209269874330001</v>
      </c>
      <c r="O28" s="607">
        <v>25.209269874330101</v>
      </c>
      <c r="P28" s="607">
        <v>25.209269874330001</v>
      </c>
      <c r="Q28" s="607">
        <v>25.209269874330001</v>
      </c>
      <c r="R28" s="607">
        <v>25.209269874330001</v>
      </c>
      <c r="S28" s="607">
        <v>25.209269874330001</v>
      </c>
      <c r="T28" s="609">
        <v>26.366268049814298</v>
      </c>
      <c r="U28" s="610">
        <v>-4.3881757300594203E-2</v>
      </c>
      <c r="V28" s="611" t="s">
        <v>685</v>
      </c>
      <c r="W28" s="646">
        <f t="shared" si="0"/>
        <v>26.366268049814298</v>
      </c>
    </row>
    <row r="29" spans="2:23">
      <c r="B29" s="606" t="s">
        <v>709</v>
      </c>
      <c r="C29" s="617">
        <v>6.6000000000000104E-3</v>
      </c>
      <c r="D29" s="617">
        <v>7.3333333333330001E-3</v>
      </c>
      <c r="E29" s="617">
        <v>5.0966666666666903E-2</v>
      </c>
      <c r="F29" s="617">
        <v>9.0749999999999807E-3</v>
      </c>
      <c r="G29" s="617">
        <v>8.9833333333329997E-3</v>
      </c>
      <c r="H29" s="617">
        <v>8.9833333333330205E-3</v>
      </c>
      <c r="I29" s="617">
        <v>8.9833333333329893E-3</v>
      </c>
      <c r="J29" s="608" t="s">
        <v>684</v>
      </c>
      <c r="K29" s="617">
        <v>8.9833333333329806E-3</v>
      </c>
      <c r="L29" s="617">
        <v>8.9833333333329997E-3</v>
      </c>
      <c r="M29" s="617">
        <v>8.9833333333329997E-3</v>
      </c>
      <c r="N29" s="617">
        <v>8.9833333333330101E-3</v>
      </c>
      <c r="O29" s="617">
        <v>8.9833333333329997E-3</v>
      </c>
      <c r="P29" s="617">
        <v>8.9833333333329997E-3</v>
      </c>
      <c r="Q29" s="617">
        <v>8.9833333333329997E-3</v>
      </c>
      <c r="R29" s="617">
        <v>8.9833333333330205E-3</v>
      </c>
      <c r="S29" s="617">
        <v>8.9833333333329997E-3</v>
      </c>
      <c r="T29" s="618">
        <v>9.0749999999999807E-3</v>
      </c>
      <c r="U29" s="610">
        <v>-1.01010101010451E-2</v>
      </c>
      <c r="V29" s="611" t="s">
        <v>693</v>
      </c>
      <c r="W29" s="646">
        <f t="shared" si="0"/>
        <v>5.0966666666666903E-2</v>
      </c>
    </row>
    <row r="30" spans="2:23">
      <c r="B30" s="606" t="s">
        <v>710</v>
      </c>
      <c r="C30" s="617">
        <v>6.5999999999999904E-3</v>
      </c>
      <c r="D30" s="617">
        <v>7.3333333333330001E-3</v>
      </c>
      <c r="E30" s="617">
        <v>5.0966666666666903E-2</v>
      </c>
      <c r="F30" s="617">
        <v>9.0750000000000206E-3</v>
      </c>
      <c r="G30" s="617">
        <v>8.9833333333329997E-3</v>
      </c>
      <c r="H30" s="617">
        <v>8.9833333333330101E-3</v>
      </c>
      <c r="I30" s="617">
        <v>8.9833333333329997E-3</v>
      </c>
      <c r="J30" s="617">
        <v>8.9833333333329893E-3</v>
      </c>
      <c r="K30" s="617">
        <v>8.9833333333329893E-3</v>
      </c>
      <c r="L30" s="617">
        <v>8.9833333333329997E-3</v>
      </c>
      <c r="M30" s="617">
        <v>8.9833333333330101E-3</v>
      </c>
      <c r="N30" s="617">
        <v>8.9833333333330101E-3</v>
      </c>
      <c r="O30" s="617">
        <v>8.9833333333329893E-3</v>
      </c>
      <c r="P30" s="617">
        <v>8.9833333333329997E-3</v>
      </c>
      <c r="Q30" s="617">
        <v>8.9833333333329997E-3</v>
      </c>
      <c r="R30" s="617">
        <v>8.9833333333329893E-3</v>
      </c>
      <c r="S30" s="617">
        <v>8.9833333333330101E-3</v>
      </c>
      <c r="T30" s="618">
        <v>9.0750000000000206E-3</v>
      </c>
      <c r="U30" s="612">
        <v>-1.01010101010482E-2</v>
      </c>
      <c r="V30" s="611" t="s">
        <v>693</v>
      </c>
      <c r="W30" s="646">
        <f t="shared" si="0"/>
        <v>5.0966666666666903E-2</v>
      </c>
    </row>
    <row r="31" spans="2:23">
      <c r="B31" s="606" t="s">
        <v>711</v>
      </c>
      <c r="C31" s="620">
        <v>0.15668888888888899</v>
      </c>
      <c r="D31" s="620">
        <v>0.15277777777777801</v>
      </c>
      <c r="E31" s="620">
        <v>0.15998888888888901</v>
      </c>
      <c r="F31" s="620">
        <v>0.16261666666666599</v>
      </c>
      <c r="G31" s="620">
        <v>0.1628</v>
      </c>
      <c r="H31" s="620">
        <v>0.1628</v>
      </c>
      <c r="I31" s="620">
        <v>0.162800000000001</v>
      </c>
      <c r="J31" s="608" t="s">
        <v>684</v>
      </c>
      <c r="K31" s="620">
        <v>0.1628</v>
      </c>
      <c r="L31" s="620">
        <v>0.1628</v>
      </c>
      <c r="M31" s="620">
        <v>0.1628</v>
      </c>
      <c r="N31" s="620">
        <v>0.1628</v>
      </c>
      <c r="O31" s="620">
        <v>0.1628</v>
      </c>
      <c r="P31" s="620">
        <v>0.1628</v>
      </c>
      <c r="Q31" s="620">
        <v>0.1628</v>
      </c>
      <c r="R31" s="620">
        <v>0.1628</v>
      </c>
      <c r="S31" s="620">
        <v>0.1628</v>
      </c>
      <c r="T31" s="621">
        <v>0.16261666666666599</v>
      </c>
      <c r="U31" s="619">
        <v>1.1273957158973501E-3</v>
      </c>
      <c r="V31" s="611" t="s">
        <v>693</v>
      </c>
      <c r="W31" s="646">
        <f t="shared" si="0"/>
        <v>0.1628</v>
      </c>
    </row>
    <row r="32" spans="2:23">
      <c r="B32" s="606" t="s">
        <v>712</v>
      </c>
      <c r="C32" s="620">
        <v>0.15668888888888899</v>
      </c>
      <c r="D32" s="620">
        <v>0.15277777777777801</v>
      </c>
      <c r="E32" s="620">
        <v>0.15998888888888901</v>
      </c>
      <c r="F32" s="620">
        <v>0.16261666666666699</v>
      </c>
      <c r="G32" s="620">
        <v>0.1628</v>
      </c>
      <c r="H32" s="620">
        <v>0.1628</v>
      </c>
      <c r="I32" s="620">
        <v>0.1628</v>
      </c>
      <c r="J32" s="620">
        <v>0.1628</v>
      </c>
      <c r="K32" s="620">
        <v>0.1628</v>
      </c>
      <c r="L32" s="620">
        <v>0.162800000000001</v>
      </c>
      <c r="M32" s="620">
        <v>0.1628</v>
      </c>
      <c r="N32" s="620">
        <v>0.1628</v>
      </c>
      <c r="O32" s="620">
        <v>0.1628</v>
      </c>
      <c r="P32" s="620">
        <v>0.162800000000001</v>
      </c>
      <c r="Q32" s="620">
        <v>0.1628</v>
      </c>
      <c r="R32" s="620">
        <v>0.1628</v>
      </c>
      <c r="S32" s="620">
        <v>0.1628</v>
      </c>
      <c r="T32" s="621">
        <v>0.16261666666666699</v>
      </c>
      <c r="U32" s="616">
        <v>1.1273957158941001E-3</v>
      </c>
      <c r="V32" s="611" t="s">
        <v>693</v>
      </c>
      <c r="W32" s="646">
        <f t="shared" si="0"/>
        <v>0.1628</v>
      </c>
    </row>
    <row r="33" spans="2:23">
      <c r="B33" s="606" t="s">
        <v>713</v>
      </c>
      <c r="C33" s="607">
        <v>60.771382443007198</v>
      </c>
      <c r="D33" s="607">
        <v>60.802708957604302</v>
      </c>
      <c r="E33" s="607">
        <v>60.503571742178899</v>
      </c>
      <c r="F33" s="607">
        <v>60.563794568458</v>
      </c>
      <c r="G33" s="607">
        <v>60.537515623333803</v>
      </c>
      <c r="H33" s="607">
        <v>60.537515623333803</v>
      </c>
      <c r="I33" s="607">
        <v>60.537515623333803</v>
      </c>
      <c r="J33" s="607">
        <v>60.537515623333903</v>
      </c>
      <c r="K33" s="607">
        <v>60.537515623333697</v>
      </c>
      <c r="L33" s="607">
        <v>60.537515623333803</v>
      </c>
      <c r="M33" s="607">
        <v>60.537515623333697</v>
      </c>
      <c r="N33" s="607">
        <v>60.537515623333803</v>
      </c>
      <c r="O33" s="607">
        <v>60.537515623333803</v>
      </c>
      <c r="P33" s="607">
        <v>60.537515623333803</v>
      </c>
      <c r="Q33" s="607">
        <v>60.537515623333697</v>
      </c>
      <c r="R33" s="607">
        <v>60.537515623333803</v>
      </c>
      <c r="S33" s="607">
        <v>60.537515623333803</v>
      </c>
      <c r="T33" s="609">
        <v>60.563794568458</v>
      </c>
      <c r="U33" s="610">
        <v>-4.33905195527816E-4</v>
      </c>
      <c r="V33" s="611" t="s">
        <v>685</v>
      </c>
      <c r="W33" s="646">
        <f t="shared" si="0"/>
        <v>60.802708957604302</v>
      </c>
    </row>
    <row r="34" spans="2:23">
      <c r="B34" s="625" t="s">
        <v>714</v>
      </c>
      <c r="C34" s="607">
        <v>21.889053788237501</v>
      </c>
      <c r="D34" s="607">
        <v>22.487100908868801</v>
      </c>
      <c r="E34" s="607">
        <v>23.584987592324101</v>
      </c>
      <c r="F34" s="607">
        <v>26.024269186413299</v>
      </c>
      <c r="G34" s="607">
        <v>25.597605322073001</v>
      </c>
      <c r="H34" s="607">
        <v>25.597605322073001</v>
      </c>
      <c r="I34" s="607">
        <v>25.597605322073001</v>
      </c>
      <c r="J34" s="607">
        <v>25.597605322072901</v>
      </c>
      <c r="K34" s="607">
        <v>25.597605322072901</v>
      </c>
      <c r="L34" s="607">
        <v>25.597605322073001</v>
      </c>
      <c r="M34" s="607">
        <v>25.597605322073001</v>
      </c>
      <c r="N34" s="607">
        <v>25.597605322073001</v>
      </c>
      <c r="O34" s="607">
        <v>25.597605322073001</v>
      </c>
      <c r="P34" s="607">
        <v>25.597605322073001</v>
      </c>
      <c r="Q34" s="607">
        <v>25.597605322073001</v>
      </c>
      <c r="R34" s="607">
        <v>25.597605322073001</v>
      </c>
      <c r="S34" s="626">
        <v>25.597605322073001</v>
      </c>
      <c r="T34" s="609">
        <v>26.024269186413299</v>
      </c>
      <c r="U34" s="610">
        <v>-1.63948451840908E-2</v>
      </c>
      <c r="V34" s="611" t="s">
        <v>685</v>
      </c>
      <c r="W34" s="646">
        <f t="shared" si="0"/>
        <v>26.024269186413299</v>
      </c>
    </row>
    <row r="35" spans="2:23">
      <c r="B35" s="625" t="s">
        <v>715</v>
      </c>
      <c r="C35" s="607">
        <v>21.593325739184699</v>
      </c>
      <c r="D35" s="607">
        <v>22.313570254022</v>
      </c>
      <c r="E35" s="607">
        <v>23.452679027976099</v>
      </c>
      <c r="F35" s="607">
        <v>26.031229212617699</v>
      </c>
      <c r="G35" s="607">
        <v>25.689940782332801</v>
      </c>
      <c r="H35" s="607">
        <v>25.689940782332801</v>
      </c>
      <c r="I35" s="607">
        <v>25.689940782332801</v>
      </c>
      <c r="J35" s="607">
        <v>25.689940782332801</v>
      </c>
      <c r="K35" s="607">
        <v>25.689940782332801</v>
      </c>
      <c r="L35" s="607">
        <v>25.689940782332801</v>
      </c>
      <c r="M35" s="607">
        <v>25.689940782332801</v>
      </c>
      <c r="N35" s="607">
        <v>25.689940782332801</v>
      </c>
      <c r="O35" s="607">
        <v>25.689940782332801</v>
      </c>
      <c r="P35" s="607">
        <v>25.689940782332801</v>
      </c>
      <c r="Q35" s="607">
        <v>25.689940782332801</v>
      </c>
      <c r="R35" s="607">
        <v>25.689940782332801</v>
      </c>
      <c r="S35" s="626">
        <v>25.689940782332801</v>
      </c>
      <c r="T35" s="609">
        <v>26.031229212617699</v>
      </c>
      <c r="U35" s="610">
        <v>-1.3110730480581499E-2</v>
      </c>
      <c r="V35" s="611" t="s">
        <v>685</v>
      </c>
      <c r="W35" s="646">
        <f t="shared" si="0"/>
        <v>26.031229212617699</v>
      </c>
    </row>
    <row r="36" spans="2:23">
      <c r="B36" s="625" t="s">
        <v>716</v>
      </c>
      <c r="C36" s="607">
        <v>21.7946615159942</v>
      </c>
      <c r="D36" s="607">
        <v>22.498449294996298</v>
      </c>
      <c r="E36" s="607">
        <v>23.5068576598077</v>
      </c>
      <c r="F36" s="607">
        <v>26.059739675559999</v>
      </c>
      <c r="G36" s="607">
        <v>25.755043602818301</v>
      </c>
      <c r="H36" s="607">
        <v>25.755043602818301</v>
      </c>
      <c r="I36" s="607">
        <v>25.755043602818301</v>
      </c>
      <c r="J36" s="607">
        <v>25.755043602818301</v>
      </c>
      <c r="K36" s="607">
        <v>25.755043602818301</v>
      </c>
      <c r="L36" s="607">
        <v>25.755043602818301</v>
      </c>
      <c r="M36" s="607">
        <v>25.755043602818301</v>
      </c>
      <c r="N36" s="607">
        <v>25.755043602818301</v>
      </c>
      <c r="O36" s="607">
        <v>25.755043602818301</v>
      </c>
      <c r="P36" s="607">
        <v>25.755043602818301</v>
      </c>
      <c r="Q36" s="607">
        <v>25.755043602818301</v>
      </c>
      <c r="R36" s="607">
        <v>25.755043602818301</v>
      </c>
      <c r="S36" s="626">
        <v>25.755043602818301</v>
      </c>
      <c r="T36" s="609">
        <v>26.059739675559999</v>
      </c>
      <c r="U36" s="612">
        <v>-1.16922147548336E-2</v>
      </c>
      <c r="V36" s="611" t="s">
        <v>685</v>
      </c>
      <c r="W36" s="646">
        <f t="shared" si="0"/>
        <v>26.059739675559999</v>
      </c>
    </row>
    <row r="37" spans="2:23">
      <c r="B37" s="606" t="s">
        <v>717</v>
      </c>
      <c r="C37" s="620">
        <v>0.45469245555555599</v>
      </c>
      <c r="D37" s="620">
        <v>0.46543786666666598</v>
      </c>
      <c r="E37" s="620">
        <v>0.46764634074074102</v>
      </c>
      <c r="F37" s="620">
        <v>0.44992271041666598</v>
      </c>
      <c r="G37" s="620">
        <v>0.45879072962962902</v>
      </c>
      <c r="H37" s="620">
        <v>0.45879072962963002</v>
      </c>
      <c r="I37" s="620">
        <v>0.45879072962962802</v>
      </c>
      <c r="J37" s="608" t="s">
        <v>684</v>
      </c>
      <c r="K37" s="620">
        <v>0.45879072962963002</v>
      </c>
      <c r="L37" s="620">
        <v>0.45879072962963102</v>
      </c>
      <c r="M37" s="620">
        <v>0.45879072962963002</v>
      </c>
      <c r="N37" s="620">
        <v>0.45879072962962902</v>
      </c>
      <c r="O37" s="620">
        <v>0.45879072962962902</v>
      </c>
      <c r="P37" s="620">
        <v>0.45879072962963002</v>
      </c>
      <c r="Q37" s="620">
        <v>0.45879072962963002</v>
      </c>
      <c r="R37" s="620">
        <v>0.45879072962963002</v>
      </c>
      <c r="S37" s="620">
        <v>0.45879072962962902</v>
      </c>
      <c r="T37" s="621">
        <v>0.44992271041666598</v>
      </c>
      <c r="U37" s="619">
        <v>1.9710094662147699E-2</v>
      </c>
      <c r="V37" s="611" t="s">
        <v>693</v>
      </c>
      <c r="W37" s="646">
        <f t="shared" si="0"/>
        <v>0.46764634074074102</v>
      </c>
    </row>
    <row r="38" spans="2:23">
      <c r="B38" s="606" t="s">
        <v>718</v>
      </c>
      <c r="C38" s="620">
        <v>0.45469245555555499</v>
      </c>
      <c r="D38" s="620">
        <v>0.46543786666666698</v>
      </c>
      <c r="E38" s="620">
        <v>0.46764634074074002</v>
      </c>
      <c r="F38" s="620">
        <v>0.44992271041666698</v>
      </c>
      <c r="G38" s="620">
        <v>0.45879072962963102</v>
      </c>
      <c r="H38" s="620">
        <v>0.45879072962963002</v>
      </c>
      <c r="I38" s="620">
        <v>0.45879072962963002</v>
      </c>
      <c r="J38" s="620">
        <v>0.45879072962963002</v>
      </c>
      <c r="K38" s="620">
        <v>0.45879072962963002</v>
      </c>
      <c r="L38" s="620">
        <v>0.45879072962963002</v>
      </c>
      <c r="M38" s="620">
        <v>0.45879072962963102</v>
      </c>
      <c r="N38" s="620">
        <v>0.45879072962963102</v>
      </c>
      <c r="O38" s="620">
        <v>0.45879072962962902</v>
      </c>
      <c r="P38" s="620">
        <v>0.45879072962963002</v>
      </c>
      <c r="Q38" s="620">
        <v>0.45879072962963002</v>
      </c>
      <c r="R38" s="620">
        <v>0.45879072962963002</v>
      </c>
      <c r="S38" s="620">
        <v>0.45879072962962902</v>
      </c>
      <c r="T38" s="621">
        <v>0.44992271041666698</v>
      </c>
      <c r="U38" s="619">
        <v>1.9710094662146901E-2</v>
      </c>
      <c r="V38" s="611" t="s">
        <v>693</v>
      </c>
      <c r="W38" s="646">
        <f t="shared" si="0"/>
        <v>0.46764634074074002</v>
      </c>
    </row>
    <row r="39" spans="2:23">
      <c r="B39" s="606" t="s">
        <v>719</v>
      </c>
      <c r="C39" s="617">
        <v>7.3333333333299897E-4</v>
      </c>
      <c r="D39" s="617">
        <v>7.3333333333299995E-4</v>
      </c>
      <c r="E39" s="617">
        <v>7.3333333333299995E-4</v>
      </c>
      <c r="F39" s="617">
        <v>7.3333333333300103E-4</v>
      </c>
      <c r="G39" s="617">
        <v>7.3333333333299995E-4</v>
      </c>
      <c r="H39" s="617">
        <v>7.3333333333299995E-4</v>
      </c>
      <c r="I39" s="617">
        <v>7.3333333333299995E-4</v>
      </c>
      <c r="J39" s="617">
        <v>7.3333333333299995E-4</v>
      </c>
      <c r="K39" s="617">
        <v>7.3333333333299995E-4</v>
      </c>
      <c r="L39" s="617">
        <v>7.3333333333300103E-4</v>
      </c>
      <c r="M39" s="617">
        <v>7.3333333333299995E-4</v>
      </c>
      <c r="N39" s="617">
        <v>7.3333333333299897E-4</v>
      </c>
      <c r="O39" s="617">
        <v>7.3333333333300103E-4</v>
      </c>
      <c r="P39" s="617">
        <v>7.33333333332998E-4</v>
      </c>
      <c r="Q39" s="617">
        <v>7.3333333333299897E-4</v>
      </c>
      <c r="R39" s="617">
        <v>7.33333333332998E-4</v>
      </c>
      <c r="S39" s="617">
        <v>7.3333333333300103E-4</v>
      </c>
      <c r="T39" s="618">
        <v>7.3333333333300103E-4</v>
      </c>
      <c r="U39" s="616">
        <v>1.4784575079354499E-16</v>
      </c>
      <c r="V39" s="611" t="s">
        <v>693</v>
      </c>
      <c r="W39" s="646">
        <f t="shared" si="0"/>
        <v>7.3333333333300103E-4</v>
      </c>
    </row>
    <row r="40" spans="2:23">
      <c r="B40" s="606" t="s">
        <v>720</v>
      </c>
      <c r="C40" s="617">
        <v>3.7277777777780098E-3</v>
      </c>
      <c r="D40" s="617">
        <v>3.48333333333299E-3</v>
      </c>
      <c r="E40" s="617">
        <v>3.97222222222201E-3</v>
      </c>
      <c r="F40" s="617">
        <v>2.4291666666670002E-3</v>
      </c>
      <c r="G40" s="617">
        <v>2.3833333333330002E-3</v>
      </c>
      <c r="H40" s="617">
        <v>2.3833333333330002E-3</v>
      </c>
      <c r="I40" s="617">
        <v>2.3833333333330002E-3</v>
      </c>
      <c r="J40" s="617">
        <v>2.3833333333330002E-3</v>
      </c>
      <c r="K40" s="617">
        <v>2.3833333333330002E-3</v>
      </c>
      <c r="L40" s="617">
        <v>2.3833333333330002E-3</v>
      </c>
      <c r="M40" s="617">
        <v>2.3833333333330002E-3</v>
      </c>
      <c r="N40" s="617">
        <v>2.3833333333330002E-3</v>
      </c>
      <c r="O40" s="617">
        <v>2.3833333333330002E-3</v>
      </c>
      <c r="P40" s="617">
        <v>2.3833333333330002E-3</v>
      </c>
      <c r="Q40" s="617">
        <v>2.3833333333330002E-3</v>
      </c>
      <c r="R40" s="617">
        <v>2.3833333333330002E-3</v>
      </c>
      <c r="S40" s="617">
        <v>2.3833333333330002E-3</v>
      </c>
      <c r="T40" s="618">
        <v>2.4291666666670002E-3</v>
      </c>
      <c r="U40" s="612">
        <v>-1.8867924528572701E-2</v>
      </c>
      <c r="V40" s="611" t="s">
        <v>693</v>
      </c>
      <c r="W40" s="646">
        <f t="shared" si="0"/>
        <v>3.97222222222201E-3</v>
      </c>
    </row>
    <row r="41" spans="2:23">
      <c r="B41" s="606" t="s">
        <v>721</v>
      </c>
      <c r="C41" s="617">
        <v>1.0193333333333001E-2</v>
      </c>
      <c r="D41" s="617">
        <v>5.9766666666670101E-3</v>
      </c>
      <c r="E41" s="617">
        <v>8.3233333333330006E-3</v>
      </c>
      <c r="F41" s="617">
        <v>6.0133333333329897E-3</v>
      </c>
      <c r="G41" s="617">
        <v>6.9138857854539899E-3</v>
      </c>
      <c r="H41" s="617">
        <v>6.9138857854540098E-3</v>
      </c>
      <c r="I41" s="617">
        <v>6.9138857854540202E-3</v>
      </c>
      <c r="J41" s="608" t="s">
        <v>684</v>
      </c>
      <c r="K41" s="617">
        <v>6.9138857854540003E-3</v>
      </c>
      <c r="L41" s="617">
        <v>6.9138857854540098E-3</v>
      </c>
      <c r="M41" s="617">
        <v>6.9138857854540003E-3</v>
      </c>
      <c r="N41" s="617">
        <v>6.9138857854540003E-3</v>
      </c>
      <c r="O41" s="617">
        <v>6.9138857854539899E-3</v>
      </c>
      <c r="P41" s="617">
        <v>6.9138857854540003E-3</v>
      </c>
      <c r="Q41" s="617">
        <v>6.9138857854539899E-3</v>
      </c>
      <c r="R41" s="617">
        <v>6.9138857854540003E-3</v>
      </c>
      <c r="S41" s="617">
        <v>6.9138857854539899E-3</v>
      </c>
      <c r="T41" s="618">
        <v>6.0133333333329897E-3</v>
      </c>
      <c r="U41" s="619">
        <v>0.149759276960263</v>
      </c>
      <c r="V41" s="611" t="s">
        <v>693</v>
      </c>
      <c r="W41" s="646">
        <f t="shared" si="0"/>
        <v>1.0193333333333001E-2</v>
      </c>
    </row>
    <row r="42" spans="2:23">
      <c r="B42" s="606" t="s">
        <v>722</v>
      </c>
      <c r="C42" s="617">
        <v>1.0193333333333001E-2</v>
      </c>
      <c r="D42" s="617">
        <v>5.9766666666669997E-3</v>
      </c>
      <c r="E42" s="617">
        <v>8.3233333333329693E-3</v>
      </c>
      <c r="F42" s="617">
        <v>6.0133333333330097E-3</v>
      </c>
      <c r="G42" s="617">
        <v>6.9138857854539899E-3</v>
      </c>
      <c r="H42" s="617">
        <v>6.9138857854540098E-3</v>
      </c>
      <c r="I42" s="617">
        <v>6.9138857854539899E-3</v>
      </c>
      <c r="J42" s="617">
        <v>6.9138857854539899E-3</v>
      </c>
      <c r="K42" s="617">
        <v>6.9138857854539803E-3</v>
      </c>
      <c r="L42" s="617">
        <v>6.9138857854540003E-3</v>
      </c>
      <c r="M42" s="617">
        <v>6.9138857854540098E-3</v>
      </c>
      <c r="N42" s="617">
        <v>6.9138857854539899E-3</v>
      </c>
      <c r="O42" s="617">
        <v>6.9138857854540003E-3</v>
      </c>
      <c r="P42" s="617">
        <v>6.9138857854539899E-3</v>
      </c>
      <c r="Q42" s="617">
        <v>6.9138857854540003E-3</v>
      </c>
      <c r="R42" s="617">
        <v>6.9138857854540098E-3</v>
      </c>
      <c r="S42" s="617">
        <v>6.9138857854539899E-3</v>
      </c>
      <c r="T42" s="618">
        <v>6.0133333333330097E-3</v>
      </c>
      <c r="U42" s="616">
        <v>0.14975927696026001</v>
      </c>
      <c r="V42" s="611" t="s">
        <v>693</v>
      </c>
      <c r="W42" s="646">
        <f t="shared" si="0"/>
        <v>1.0193333333333001E-2</v>
      </c>
    </row>
    <row r="43" spans="2:23">
      <c r="B43" s="627" t="s">
        <v>723</v>
      </c>
      <c r="C43" s="628">
        <v>26.831247028652601</v>
      </c>
      <c r="D43" s="628">
        <v>26.866098597992298</v>
      </c>
      <c r="E43" s="628">
        <v>27.103182313913599</v>
      </c>
      <c r="F43" s="628">
        <v>27.8969082597112</v>
      </c>
      <c r="G43" s="628">
        <v>26.9248976847317</v>
      </c>
      <c r="H43" s="628">
        <v>26.9248976847318</v>
      </c>
      <c r="I43" s="628">
        <v>26.9248976847318</v>
      </c>
      <c r="J43" s="628">
        <v>26.9248976847318</v>
      </c>
      <c r="K43" s="628">
        <v>26.9248976847318</v>
      </c>
      <c r="L43" s="628">
        <v>26.9248976847318</v>
      </c>
      <c r="M43" s="628">
        <v>26.9248976847318</v>
      </c>
      <c r="N43" s="628">
        <v>26.9248976847318</v>
      </c>
      <c r="O43" s="628">
        <v>26.9248976847318</v>
      </c>
      <c r="P43" s="628">
        <v>26.9248976847318</v>
      </c>
      <c r="Q43" s="628">
        <v>26.9248976847318</v>
      </c>
      <c r="R43" s="628">
        <v>26.9248976847318</v>
      </c>
      <c r="S43" s="628">
        <v>26.9248976847318</v>
      </c>
      <c r="T43" s="629">
        <v>27.8969082597112</v>
      </c>
      <c r="U43" s="610">
        <v>-3.4842949832657399E-2</v>
      </c>
      <c r="V43" s="624" t="s">
        <v>685</v>
      </c>
      <c r="W43" s="646">
        <f t="shared" si="0"/>
        <v>27.8969082597112</v>
      </c>
    </row>
    <row r="44" spans="2:23">
      <c r="B44" s="603" t="s">
        <v>724</v>
      </c>
      <c r="C44" s="604"/>
      <c r="D44" s="604"/>
      <c r="E44" s="604"/>
      <c r="F44" s="604"/>
      <c r="G44" s="604"/>
      <c r="H44" s="604"/>
      <c r="I44" s="604"/>
      <c r="J44" s="604"/>
      <c r="K44" s="604"/>
      <c r="L44" s="604"/>
      <c r="M44" s="604"/>
      <c r="N44" s="604"/>
      <c r="O44" s="604"/>
      <c r="P44" s="604"/>
      <c r="Q44" s="604"/>
      <c r="R44" s="604"/>
      <c r="S44" s="604"/>
      <c r="T44" s="604"/>
      <c r="U44" s="630"/>
      <c r="V44" s="605"/>
      <c r="W44" s="646"/>
    </row>
    <row r="45" spans="2:23">
      <c r="B45" s="606" t="s">
        <v>683</v>
      </c>
      <c r="C45" s="617">
        <v>2.7509181607816803E-4</v>
      </c>
      <c r="D45" s="617">
        <v>2.7464909018200598E-4</v>
      </c>
      <c r="E45" s="617">
        <v>2.7684536733829998E-4</v>
      </c>
      <c r="F45" s="617">
        <v>2.8545841401719302E-4</v>
      </c>
      <c r="G45" s="617">
        <v>2.7275918230943802E-4</v>
      </c>
      <c r="H45" s="617">
        <v>2.7275918230943802E-4</v>
      </c>
      <c r="I45" s="608" t="s">
        <v>684</v>
      </c>
      <c r="J45" s="608" t="s">
        <v>684</v>
      </c>
      <c r="K45" s="608" t="s">
        <v>684</v>
      </c>
      <c r="L45" s="617">
        <v>2.7275918230943699E-4</v>
      </c>
      <c r="M45" s="617">
        <v>2.7275918230943699E-4</v>
      </c>
      <c r="N45" s="617">
        <v>2.7275918230943802E-4</v>
      </c>
      <c r="O45" s="617">
        <v>2.7275918230943699E-4</v>
      </c>
      <c r="P45" s="617">
        <v>2.7275918230943802E-4</v>
      </c>
      <c r="Q45" s="617">
        <v>2.7275918230943802E-4</v>
      </c>
      <c r="R45" s="617">
        <v>2.7275918230943802E-4</v>
      </c>
      <c r="S45" s="617">
        <v>2.7275918230943802E-4</v>
      </c>
      <c r="T45" s="618">
        <v>2.8545841401719302E-4</v>
      </c>
      <c r="U45" s="610">
        <v>-4.4487151487468901E-2</v>
      </c>
      <c r="V45" s="611" t="s">
        <v>685</v>
      </c>
      <c r="W45" s="646">
        <f t="shared" si="0"/>
        <v>2.8545841401719302E-4</v>
      </c>
    </row>
    <row r="46" spans="2:23">
      <c r="B46" s="606" t="s">
        <v>686</v>
      </c>
      <c r="C46" s="617">
        <v>1.1453332537317599E-3</v>
      </c>
      <c r="D46" s="617">
        <v>1.14592365166989E-3</v>
      </c>
      <c r="E46" s="617">
        <v>1.14028593558573E-3</v>
      </c>
      <c r="F46" s="617">
        <v>1.1414209304270301E-3</v>
      </c>
      <c r="G46" s="617">
        <v>1.14092566195503E-3</v>
      </c>
      <c r="H46" s="617">
        <v>1.14092566195503E-3</v>
      </c>
      <c r="I46" s="617">
        <v>1.14092566195503E-3</v>
      </c>
      <c r="J46" s="617">
        <v>1.14092566195503E-3</v>
      </c>
      <c r="K46" s="617">
        <v>1.14092566195503E-3</v>
      </c>
      <c r="L46" s="617">
        <v>1.14092566195503E-3</v>
      </c>
      <c r="M46" s="617">
        <v>1.14092566195503E-3</v>
      </c>
      <c r="N46" s="617">
        <v>1.14092566195503E-3</v>
      </c>
      <c r="O46" s="617">
        <v>1.14092566195502E-3</v>
      </c>
      <c r="P46" s="617">
        <v>1.14092566195502E-3</v>
      </c>
      <c r="Q46" s="617">
        <v>1.14092566195503E-3</v>
      </c>
      <c r="R46" s="617">
        <v>1.14092566195503E-3</v>
      </c>
      <c r="S46" s="617">
        <v>1.14092566195503E-3</v>
      </c>
      <c r="T46" s="618">
        <v>1.1414209304270301E-3</v>
      </c>
      <c r="U46" s="612">
        <v>-4.3390519553065298E-4</v>
      </c>
      <c r="V46" s="611" t="s">
        <v>685</v>
      </c>
      <c r="W46" s="646">
        <f t="shared" si="0"/>
        <v>1.14592365166989E-3</v>
      </c>
    </row>
    <row r="47" spans="2:23">
      <c r="B47" s="606" t="s">
        <v>687</v>
      </c>
      <c r="C47" s="617">
        <v>2.7478019721539898E-4</v>
      </c>
      <c r="D47" s="617">
        <v>2.74429068748445E-4</v>
      </c>
      <c r="E47" s="617">
        <v>2.7799463735247602E-4</v>
      </c>
      <c r="F47" s="608" t="s">
        <v>684</v>
      </c>
      <c r="G47" s="608" t="s">
        <v>684</v>
      </c>
      <c r="H47" s="608" t="s">
        <v>684</v>
      </c>
      <c r="I47" s="608" t="s">
        <v>684</v>
      </c>
      <c r="J47" s="608" t="s">
        <v>684</v>
      </c>
      <c r="K47" s="608" t="s">
        <v>684</v>
      </c>
      <c r="L47" s="617">
        <v>2.7363153979419901E-4</v>
      </c>
      <c r="M47" s="617">
        <v>2.7363153979419901E-4</v>
      </c>
      <c r="N47" s="617">
        <v>2.7363153979419901E-4</v>
      </c>
      <c r="O47" s="617">
        <v>2.7363153979419901E-4</v>
      </c>
      <c r="P47" s="617">
        <v>2.7363153979419901E-4</v>
      </c>
      <c r="Q47" s="617">
        <v>2.7363153979419901E-4</v>
      </c>
      <c r="R47" s="617">
        <v>2.7363153979419901E-4</v>
      </c>
      <c r="S47" s="617">
        <v>2.7363153979419901E-4</v>
      </c>
      <c r="T47" s="613" t="s">
        <v>684</v>
      </c>
      <c r="U47" s="614" t="s">
        <v>684</v>
      </c>
      <c r="V47" s="615" t="s">
        <v>685</v>
      </c>
      <c r="W47" s="646">
        <f t="shared" si="0"/>
        <v>2.7799463735247602E-4</v>
      </c>
    </row>
    <row r="48" spans="2:23">
      <c r="B48" s="606" t="s">
        <v>688</v>
      </c>
      <c r="C48" s="617">
        <v>1.1453332537317599E-3</v>
      </c>
      <c r="D48" s="617">
        <v>1.14592365166989E-3</v>
      </c>
      <c r="E48" s="617">
        <v>1.14028593558573E-3</v>
      </c>
      <c r="F48" s="617">
        <v>1.1414209304270301E-3</v>
      </c>
      <c r="G48" s="617">
        <v>1.14092566195503E-3</v>
      </c>
      <c r="H48" s="617">
        <v>1.14092566195503E-3</v>
      </c>
      <c r="I48" s="617">
        <v>1.14092566195503E-3</v>
      </c>
      <c r="J48" s="608" t="s">
        <v>684</v>
      </c>
      <c r="K48" s="617">
        <v>1.14092566195502E-3</v>
      </c>
      <c r="L48" s="617">
        <v>1.14092566195503E-3</v>
      </c>
      <c r="M48" s="617">
        <v>1.14092566195503E-3</v>
      </c>
      <c r="N48" s="617">
        <v>1.14092566195503E-3</v>
      </c>
      <c r="O48" s="617">
        <v>1.14092566195503E-3</v>
      </c>
      <c r="P48" s="617">
        <v>1.14092566195503E-3</v>
      </c>
      <c r="Q48" s="617">
        <v>1.14092566195503E-3</v>
      </c>
      <c r="R48" s="617">
        <v>1.14092566195503E-3</v>
      </c>
      <c r="S48" s="617">
        <v>1.14092566195503E-3</v>
      </c>
      <c r="T48" s="618">
        <v>1.1414209304270301E-3</v>
      </c>
      <c r="U48" s="610">
        <v>-4.33905195528944E-4</v>
      </c>
      <c r="V48" s="611" t="s">
        <v>685</v>
      </c>
      <c r="W48" s="646">
        <f t="shared" si="0"/>
        <v>1.14592365166989E-3</v>
      </c>
    </row>
    <row r="49" spans="2:23">
      <c r="B49" s="606" t="s">
        <v>689</v>
      </c>
      <c r="C49" s="617">
        <v>2.1517847731874302E-6</v>
      </c>
      <c r="D49" s="617">
        <v>2.2446163313990501E-6</v>
      </c>
      <c r="E49" s="617">
        <v>2.4490636879540099E-6</v>
      </c>
      <c r="F49" s="617">
        <v>2.5798876345737402E-6</v>
      </c>
      <c r="G49" s="617">
        <v>2.5455966719634201E-6</v>
      </c>
      <c r="H49" s="617">
        <v>2.5455966719634201E-6</v>
      </c>
      <c r="I49" s="617">
        <v>2.5455966719634201E-6</v>
      </c>
      <c r="J49" s="617">
        <v>2.5455966719634201E-6</v>
      </c>
      <c r="K49" s="617">
        <v>2.5455966719634201E-6</v>
      </c>
      <c r="L49" s="617">
        <v>2.5455966719634201E-6</v>
      </c>
      <c r="M49" s="617">
        <v>2.5455966719634201E-6</v>
      </c>
      <c r="N49" s="617">
        <v>2.5455966719634298E-6</v>
      </c>
      <c r="O49" s="617">
        <v>2.5455966719634201E-6</v>
      </c>
      <c r="P49" s="617">
        <v>2.5455966719634201E-6</v>
      </c>
      <c r="Q49" s="617">
        <v>2.5455966719634201E-6</v>
      </c>
      <c r="R49" s="617">
        <v>2.5455966719634201E-6</v>
      </c>
      <c r="S49" s="617">
        <v>2.5455966719634201E-6</v>
      </c>
      <c r="T49" s="618">
        <v>2.5798876345737402E-6</v>
      </c>
      <c r="U49" s="610">
        <v>-1.32916496636452E-2</v>
      </c>
      <c r="V49" s="611" t="s">
        <v>685</v>
      </c>
      <c r="W49" s="646">
        <f t="shared" si="0"/>
        <v>2.5798876345737402E-6</v>
      </c>
    </row>
    <row r="50" spans="2:23">
      <c r="B50" s="606" t="s">
        <v>690</v>
      </c>
      <c r="C50" s="617">
        <v>2.16669214475543E-6</v>
      </c>
      <c r="D50" s="617">
        <v>2.2483635240601598E-6</v>
      </c>
      <c r="E50" s="617">
        <v>2.4564687904692899E-6</v>
      </c>
      <c r="F50" s="617">
        <v>2.5793963983565298E-6</v>
      </c>
      <c r="G50" s="617">
        <v>2.5298208190759502E-6</v>
      </c>
      <c r="H50" s="617">
        <v>2.5298208190759502E-6</v>
      </c>
      <c r="I50" s="617">
        <v>2.52982081907594E-6</v>
      </c>
      <c r="J50" s="617">
        <v>2.5298208190759502E-6</v>
      </c>
      <c r="K50" s="617">
        <v>2.5298208190759502E-6</v>
      </c>
      <c r="L50" s="617">
        <v>2.5298208190759502E-6</v>
      </c>
      <c r="M50" s="617">
        <v>2.5298208190759502E-6</v>
      </c>
      <c r="N50" s="617">
        <v>2.52982081907594E-6</v>
      </c>
      <c r="O50" s="617">
        <v>2.5298208190759502E-6</v>
      </c>
      <c r="P50" s="617">
        <v>2.52982081907594E-6</v>
      </c>
      <c r="Q50" s="617">
        <v>2.52982081907594E-6</v>
      </c>
      <c r="R50" s="617">
        <v>2.5298208190759502E-6</v>
      </c>
      <c r="S50" s="617">
        <v>2.5298208190759502E-6</v>
      </c>
      <c r="T50" s="618">
        <v>2.5793963983565298E-6</v>
      </c>
      <c r="U50" s="612">
        <v>-1.9219837366666201E-2</v>
      </c>
      <c r="V50" s="611" t="s">
        <v>685</v>
      </c>
      <c r="W50" s="646">
        <f t="shared" si="0"/>
        <v>2.5793963983565298E-6</v>
      </c>
    </row>
    <row r="51" spans="2:23">
      <c r="B51" s="606" t="s">
        <v>691</v>
      </c>
      <c r="C51" s="617">
        <v>2.16964461064458E-6</v>
      </c>
      <c r="D51" s="617">
        <v>2.2538445366706698E-6</v>
      </c>
      <c r="E51" s="617">
        <v>2.4471391560224002E-6</v>
      </c>
      <c r="F51" s="617">
        <v>2.5798629582327398E-6</v>
      </c>
      <c r="G51" s="617">
        <v>2.6398546463645299E-6</v>
      </c>
      <c r="H51" s="617">
        <v>2.6398546463645299E-6</v>
      </c>
      <c r="I51" s="617">
        <v>2.6398546463645299E-6</v>
      </c>
      <c r="J51" s="617">
        <v>2.63985464636454E-6</v>
      </c>
      <c r="K51" s="617">
        <v>2.6398546463645299E-6</v>
      </c>
      <c r="L51" s="617">
        <v>2.63985464636454E-6</v>
      </c>
      <c r="M51" s="617">
        <v>2.6398546463645299E-6</v>
      </c>
      <c r="N51" s="617">
        <v>2.6398546463645299E-6</v>
      </c>
      <c r="O51" s="617">
        <v>2.6398546463645299E-6</v>
      </c>
      <c r="P51" s="617">
        <v>2.6398546463645299E-6</v>
      </c>
      <c r="Q51" s="617">
        <v>2.63985464636454E-6</v>
      </c>
      <c r="R51" s="617">
        <v>2.6398546463645299E-6</v>
      </c>
      <c r="S51" s="617">
        <v>2.6398546463645299E-6</v>
      </c>
      <c r="T51" s="618">
        <v>2.5798629582327398E-6</v>
      </c>
      <c r="U51" s="616">
        <v>2.3253827471861201E-2</v>
      </c>
      <c r="V51" s="611" t="s">
        <v>685</v>
      </c>
      <c r="W51" s="646">
        <f t="shared" si="0"/>
        <v>2.6398546463645299E-6</v>
      </c>
    </row>
    <row r="52" spans="2:23">
      <c r="B52" s="606" t="s">
        <v>707</v>
      </c>
      <c r="C52" s="617">
        <v>3.1693654811697903E-4</v>
      </c>
      <c r="D52" s="617">
        <v>3.1693654811697903E-4</v>
      </c>
      <c r="E52" s="617">
        <v>3.1693654811697903E-4</v>
      </c>
      <c r="F52" s="617">
        <v>3.1693654811698098E-4</v>
      </c>
      <c r="G52" s="617">
        <v>3.1693654811698E-4</v>
      </c>
      <c r="H52" s="617">
        <v>3.1693654811698E-4</v>
      </c>
      <c r="I52" s="617">
        <v>3.1693654811698E-4</v>
      </c>
      <c r="J52" s="617">
        <v>3.1693654811698E-4</v>
      </c>
      <c r="K52" s="617">
        <v>3.1693654811698E-4</v>
      </c>
      <c r="L52" s="617">
        <v>3.1693654811698E-4</v>
      </c>
      <c r="M52" s="617">
        <v>3.1693654811697903E-4</v>
      </c>
      <c r="N52" s="617">
        <v>3.1693654811698E-4</v>
      </c>
      <c r="O52" s="617">
        <v>3.1693654811698098E-4</v>
      </c>
      <c r="P52" s="617">
        <v>3.1693654811698098E-4</v>
      </c>
      <c r="Q52" s="617">
        <v>3.1693654811698E-4</v>
      </c>
      <c r="R52" s="617">
        <v>3.1693654811698098E-4</v>
      </c>
      <c r="S52" s="617">
        <v>3.1693654811698E-4</v>
      </c>
      <c r="T52" s="618">
        <v>3.1693654811698098E-4</v>
      </c>
      <c r="U52" s="610">
        <v>-1.8814844750783701E-15</v>
      </c>
      <c r="V52" s="611" t="s">
        <v>685</v>
      </c>
      <c r="W52" s="646">
        <f t="shared" si="0"/>
        <v>3.1693654811698098E-4</v>
      </c>
    </row>
    <row r="53" spans="2:23">
      <c r="B53" s="606" t="s">
        <v>708</v>
      </c>
      <c r="C53" s="617">
        <v>3.1693654811698E-4</v>
      </c>
      <c r="D53" s="617">
        <v>3.1693654811698E-4</v>
      </c>
      <c r="E53" s="617">
        <v>3.1693654811698E-4</v>
      </c>
      <c r="F53" s="617">
        <v>3.1693654811698E-4</v>
      </c>
      <c r="G53" s="617">
        <v>3.1693654811697903E-4</v>
      </c>
      <c r="H53" s="617">
        <v>3.1693654811698E-4</v>
      </c>
      <c r="I53" s="617">
        <v>3.1693654811697903E-4</v>
      </c>
      <c r="J53" s="617">
        <v>3.1693654811698E-4</v>
      </c>
      <c r="K53" s="617">
        <v>3.1693654811698E-4</v>
      </c>
      <c r="L53" s="617">
        <v>3.1693654811698E-4</v>
      </c>
      <c r="M53" s="617">
        <v>3.1693654811698E-4</v>
      </c>
      <c r="N53" s="617">
        <v>3.1693654811698E-4</v>
      </c>
      <c r="O53" s="617">
        <v>3.1693654811698E-4</v>
      </c>
      <c r="P53" s="617">
        <v>3.1693654811698098E-4</v>
      </c>
      <c r="Q53" s="617">
        <v>3.1693654811698E-4</v>
      </c>
      <c r="R53" s="617">
        <v>3.1693654811698E-4</v>
      </c>
      <c r="S53" s="617">
        <v>3.1693654811698E-4</v>
      </c>
      <c r="T53" s="618">
        <v>3.1693654811698E-4</v>
      </c>
      <c r="U53" s="610">
        <v>-1.02626425913366E-15</v>
      </c>
      <c r="V53" s="611" t="s">
        <v>685</v>
      </c>
      <c r="W53" s="646">
        <f t="shared" si="0"/>
        <v>3.1693654811698E-4</v>
      </c>
    </row>
    <row r="54" spans="2:23">
      <c r="B54" s="606" t="s">
        <v>713</v>
      </c>
      <c r="C54" s="617">
        <v>1.1453332537317599E-3</v>
      </c>
      <c r="D54" s="617">
        <v>1.14592365166989E-3</v>
      </c>
      <c r="E54" s="617">
        <v>1.14028593558573E-3</v>
      </c>
      <c r="F54" s="617">
        <v>1.1414209304270301E-3</v>
      </c>
      <c r="G54" s="617">
        <v>1.14092566195503E-3</v>
      </c>
      <c r="H54" s="617">
        <v>1.14092566195503E-3</v>
      </c>
      <c r="I54" s="617">
        <v>1.14092566195503E-3</v>
      </c>
      <c r="J54" s="617">
        <v>1.14092566195503E-3</v>
      </c>
      <c r="K54" s="617">
        <v>1.14092566195503E-3</v>
      </c>
      <c r="L54" s="617">
        <v>1.14092566195503E-3</v>
      </c>
      <c r="M54" s="617">
        <v>1.14092566195503E-3</v>
      </c>
      <c r="N54" s="617">
        <v>1.14092566195503E-3</v>
      </c>
      <c r="O54" s="617">
        <v>1.14092566195503E-3</v>
      </c>
      <c r="P54" s="617">
        <v>1.14092566195503E-3</v>
      </c>
      <c r="Q54" s="617">
        <v>1.14092566195503E-3</v>
      </c>
      <c r="R54" s="617">
        <v>1.14092566195503E-3</v>
      </c>
      <c r="S54" s="617">
        <v>1.14092566195503E-3</v>
      </c>
      <c r="T54" s="618">
        <v>1.1414209304270301E-3</v>
      </c>
      <c r="U54" s="610">
        <v>-4.33905195529893E-4</v>
      </c>
      <c r="V54" s="611" t="s">
        <v>685</v>
      </c>
      <c r="W54" s="646">
        <f t="shared" si="0"/>
        <v>1.14592365166989E-3</v>
      </c>
    </row>
    <row r="55" spans="2:23">
      <c r="B55" s="606" t="s">
        <v>714</v>
      </c>
      <c r="C55" s="617">
        <v>2.2310780933109599E-6</v>
      </c>
      <c r="D55" s="617">
        <v>2.2310780933109599E-6</v>
      </c>
      <c r="E55" s="617">
        <v>2.2310780933109599E-6</v>
      </c>
      <c r="F55" s="617">
        <v>2.2310780933109599E-6</v>
      </c>
      <c r="G55" s="617">
        <v>2.2310780933109599E-6</v>
      </c>
      <c r="H55" s="617">
        <v>2.2310780933109599E-6</v>
      </c>
      <c r="I55" s="617">
        <v>2.2310780933109599E-6</v>
      </c>
      <c r="J55" s="617">
        <v>2.2310780933109599E-6</v>
      </c>
      <c r="K55" s="617">
        <v>2.2310780933109701E-6</v>
      </c>
      <c r="L55" s="617">
        <v>2.2310780933109599E-6</v>
      </c>
      <c r="M55" s="617">
        <v>2.2310780933109599E-6</v>
      </c>
      <c r="N55" s="617">
        <v>2.2310780933109599E-6</v>
      </c>
      <c r="O55" s="617">
        <v>2.2310780933109599E-6</v>
      </c>
      <c r="P55" s="617">
        <v>2.2310780933109599E-6</v>
      </c>
      <c r="Q55" s="617">
        <v>2.2310780933109599E-6</v>
      </c>
      <c r="R55" s="617">
        <v>2.2310780933109599E-6</v>
      </c>
      <c r="S55" s="617">
        <v>2.2310780933109599E-6</v>
      </c>
      <c r="T55" s="618">
        <v>2.2310780933109599E-6</v>
      </c>
      <c r="U55" s="612">
        <v>-7.5930371939360198E-16</v>
      </c>
      <c r="V55" s="611" t="s">
        <v>685</v>
      </c>
      <c r="W55" s="646">
        <f t="shared" si="0"/>
        <v>2.2310780933109599E-6</v>
      </c>
    </row>
    <row r="56" spans="2:23">
      <c r="B56" s="606" t="s">
        <v>715</v>
      </c>
      <c r="C56" s="617">
        <v>2.2310780933109599E-6</v>
      </c>
      <c r="D56" s="617">
        <v>2.2310780933109599E-6</v>
      </c>
      <c r="E56" s="617">
        <v>2.2310780933109599E-6</v>
      </c>
      <c r="F56" s="617">
        <v>2.2310780933109599E-6</v>
      </c>
      <c r="G56" s="617">
        <v>2.2310780933109599E-6</v>
      </c>
      <c r="H56" s="617">
        <v>2.2310780933109599E-6</v>
      </c>
      <c r="I56" s="617">
        <v>2.2310780933109502E-6</v>
      </c>
      <c r="J56" s="617">
        <v>2.2310780933109599E-6</v>
      </c>
      <c r="K56" s="617">
        <v>2.2310780933109599E-6</v>
      </c>
      <c r="L56" s="617">
        <v>2.2310780933109599E-6</v>
      </c>
      <c r="M56" s="617">
        <v>2.2310780933109599E-6</v>
      </c>
      <c r="N56" s="617">
        <v>2.2310780933109599E-6</v>
      </c>
      <c r="O56" s="617">
        <v>2.2310780933109599E-6</v>
      </c>
      <c r="P56" s="617">
        <v>2.2310780933109599E-6</v>
      </c>
      <c r="Q56" s="617">
        <v>2.2310780933109599E-6</v>
      </c>
      <c r="R56" s="617">
        <v>2.2310780933109599E-6</v>
      </c>
      <c r="S56" s="617">
        <v>2.2310780933109599E-6</v>
      </c>
      <c r="T56" s="618">
        <v>2.2310780933109599E-6</v>
      </c>
      <c r="U56" s="619">
        <v>5.6947778954520299E-16</v>
      </c>
      <c r="V56" s="611" t="s">
        <v>685</v>
      </c>
      <c r="W56" s="646">
        <f t="shared" si="0"/>
        <v>2.2310780933109599E-6</v>
      </c>
    </row>
    <row r="57" spans="2:23">
      <c r="B57" s="606" t="s">
        <v>716</v>
      </c>
      <c r="C57" s="617">
        <v>2.2310780933109599E-6</v>
      </c>
      <c r="D57" s="617">
        <v>2.2310780933109599E-6</v>
      </c>
      <c r="E57" s="617">
        <v>2.2310780933109599E-6</v>
      </c>
      <c r="F57" s="617">
        <v>2.2310780933109599E-6</v>
      </c>
      <c r="G57" s="617">
        <v>2.2310780933109599E-6</v>
      </c>
      <c r="H57" s="617">
        <v>2.2310780933109599E-6</v>
      </c>
      <c r="I57" s="617">
        <v>2.2310780933109599E-6</v>
      </c>
      <c r="J57" s="617">
        <v>2.2310780933109599E-6</v>
      </c>
      <c r="K57" s="617">
        <v>2.2310780933109599E-6</v>
      </c>
      <c r="L57" s="617">
        <v>2.2310780933109599E-6</v>
      </c>
      <c r="M57" s="617">
        <v>2.2310780933109599E-6</v>
      </c>
      <c r="N57" s="617">
        <v>2.2310780933109599E-6</v>
      </c>
      <c r="O57" s="617">
        <v>2.2310780933109599E-6</v>
      </c>
      <c r="P57" s="617">
        <v>2.2310780933109599E-6</v>
      </c>
      <c r="Q57" s="617">
        <v>2.2310780933109599E-6</v>
      </c>
      <c r="R57" s="617">
        <v>2.2310780933109599E-6</v>
      </c>
      <c r="S57" s="617">
        <v>2.2310780933109599E-6</v>
      </c>
      <c r="T57" s="618">
        <v>2.2310780933109599E-6</v>
      </c>
      <c r="U57" s="616">
        <v>5.6947778954520201E-16</v>
      </c>
      <c r="V57" s="611" t="s">
        <v>685</v>
      </c>
      <c r="W57" s="646">
        <f t="shared" si="0"/>
        <v>2.2310780933109599E-6</v>
      </c>
    </row>
    <row r="58" spans="2:23">
      <c r="B58" s="627" t="s">
        <v>723</v>
      </c>
      <c r="C58" s="631">
        <v>2.74898582150974E-4</v>
      </c>
      <c r="D58" s="631">
        <v>2.7525565265791401E-4</v>
      </c>
      <c r="E58" s="631">
        <v>2.7768468539384801E-4</v>
      </c>
      <c r="F58" s="631">
        <v>2.85816776193788E-4</v>
      </c>
      <c r="G58" s="631">
        <v>2.7585807659970198E-4</v>
      </c>
      <c r="H58" s="631">
        <v>2.75858076599701E-4</v>
      </c>
      <c r="I58" s="631">
        <v>2.75858076599701E-4</v>
      </c>
      <c r="J58" s="631">
        <v>2.75858076599701E-4</v>
      </c>
      <c r="K58" s="631">
        <v>2.75858076599701E-4</v>
      </c>
      <c r="L58" s="631">
        <v>2.75858076599701E-4</v>
      </c>
      <c r="M58" s="631">
        <v>2.75858076599701E-4</v>
      </c>
      <c r="N58" s="631">
        <v>2.75858076599701E-4</v>
      </c>
      <c r="O58" s="631">
        <v>2.75858076599701E-4</v>
      </c>
      <c r="P58" s="631">
        <v>2.75858076599701E-4</v>
      </c>
      <c r="Q58" s="631">
        <v>2.75858076599701E-4</v>
      </c>
      <c r="R58" s="631">
        <v>2.75858076599701E-4</v>
      </c>
      <c r="S58" s="631">
        <v>2.75858076599701E-4</v>
      </c>
      <c r="T58" s="632">
        <v>2.85816776193788E-4</v>
      </c>
      <c r="U58" s="610">
        <v>-3.4842949832081298E-2</v>
      </c>
      <c r="V58" s="624" t="s">
        <v>685</v>
      </c>
      <c r="W58" s="646">
        <f t="shared" si="0"/>
        <v>2.85816776193788E-4</v>
      </c>
    </row>
    <row r="59" spans="2:23">
      <c r="B59" s="603" t="s">
        <v>725</v>
      </c>
      <c r="C59" s="604"/>
      <c r="D59" s="604"/>
      <c r="E59" s="604"/>
      <c r="F59" s="604"/>
      <c r="G59" s="604"/>
      <c r="H59" s="604"/>
      <c r="I59" s="604"/>
      <c r="J59" s="604"/>
      <c r="K59" s="604"/>
      <c r="L59" s="604"/>
      <c r="M59" s="604"/>
      <c r="N59" s="604"/>
      <c r="O59" s="604"/>
      <c r="P59" s="604"/>
      <c r="Q59" s="604"/>
      <c r="R59" s="604"/>
      <c r="S59" s="604"/>
      <c r="T59" s="604"/>
      <c r="U59" s="630"/>
      <c r="V59" s="605"/>
      <c r="W59" s="646"/>
    </row>
    <row r="60" spans="2:23">
      <c r="B60" s="606" t="s">
        <v>683</v>
      </c>
      <c r="C60" s="617">
        <v>5.7310795016238997E-5</v>
      </c>
      <c r="D60" s="617">
        <v>5.7218560454400899E-5</v>
      </c>
      <c r="E60" s="617">
        <v>5.7676118195065797E-5</v>
      </c>
      <c r="F60" s="617">
        <v>5.9470502919835197E-5</v>
      </c>
      <c r="G60" s="617">
        <v>5.6824829647156602E-5</v>
      </c>
      <c r="H60" s="617">
        <v>5.6824829647156602E-5</v>
      </c>
      <c r="I60" s="608" t="s">
        <v>684</v>
      </c>
      <c r="J60" s="608" t="s">
        <v>684</v>
      </c>
      <c r="K60" s="608" t="s">
        <v>684</v>
      </c>
      <c r="L60" s="617">
        <v>5.68248296471565E-5</v>
      </c>
      <c r="M60" s="617">
        <v>5.68248296471565E-5</v>
      </c>
      <c r="N60" s="617">
        <v>5.6824829647156602E-5</v>
      </c>
      <c r="O60" s="617">
        <v>5.68248296471565E-5</v>
      </c>
      <c r="P60" s="617">
        <v>5.68248296471565E-5</v>
      </c>
      <c r="Q60" s="617">
        <v>5.68248296471565E-5</v>
      </c>
      <c r="R60" s="617">
        <v>5.68248296471565E-5</v>
      </c>
      <c r="S60" s="617">
        <v>5.6824829647156602E-5</v>
      </c>
      <c r="T60" s="618">
        <v>5.9470502919835197E-5</v>
      </c>
      <c r="U60" s="610">
        <v>-4.44871514916391E-2</v>
      </c>
      <c r="V60" s="611" t="s">
        <v>685</v>
      </c>
      <c r="W60" s="646">
        <f t="shared" si="0"/>
        <v>5.9470502919835197E-5</v>
      </c>
    </row>
    <row r="61" spans="2:23">
      <c r="B61" s="606" t="s">
        <v>686</v>
      </c>
      <c r="C61" s="617">
        <v>1.14533325373176E-4</v>
      </c>
      <c r="D61" s="617">
        <v>1.14592365166989E-4</v>
      </c>
      <c r="E61" s="617">
        <v>1.1402859355857301E-4</v>
      </c>
      <c r="F61" s="617">
        <v>1.14142093042703E-4</v>
      </c>
      <c r="G61" s="617">
        <v>1.14092566195503E-4</v>
      </c>
      <c r="H61" s="617">
        <v>1.14092566195503E-4</v>
      </c>
      <c r="I61" s="617">
        <v>1.14092566195503E-4</v>
      </c>
      <c r="J61" s="617">
        <v>1.14092566195503E-4</v>
      </c>
      <c r="K61" s="617">
        <v>1.14092566195503E-4</v>
      </c>
      <c r="L61" s="617">
        <v>1.14092566195503E-4</v>
      </c>
      <c r="M61" s="617">
        <v>1.14092566195503E-4</v>
      </c>
      <c r="N61" s="617">
        <v>1.14092566195503E-4</v>
      </c>
      <c r="O61" s="617">
        <v>1.14092566195502E-4</v>
      </c>
      <c r="P61" s="617">
        <v>1.14092566195502E-4</v>
      </c>
      <c r="Q61" s="617">
        <v>1.14092566195503E-4</v>
      </c>
      <c r="R61" s="617">
        <v>1.14092566195503E-4</v>
      </c>
      <c r="S61" s="617">
        <v>1.14092566195503E-4</v>
      </c>
      <c r="T61" s="618">
        <v>1.14142093042703E-4</v>
      </c>
      <c r="U61" s="612">
        <v>-4.3390519553084298E-4</v>
      </c>
      <c r="V61" s="611" t="s">
        <v>685</v>
      </c>
      <c r="W61" s="646">
        <f t="shared" si="0"/>
        <v>1.14592365166989E-4</v>
      </c>
    </row>
    <row r="62" spans="2:23">
      <c r="B62" s="606" t="s">
        <v>687</v>
      </c>
      <c r="C62" s="617">
        <v>5.7245874420242199E-5</v>
      </c>
      <c r="D62" s="617">
        <v>5.7172722656247601E-5</v>
      </c>
      <c r="E62" s="617">
        <v>5.7915549448064998E-5</v>
      </c>
      <c r="F62" s="608" t="s">
        <v>684</v>
      </c>
      <c r="G62" s="608" t="s">
        <v>684</v>
      </c>
      <c r="H62" s="608" t="s">
        <v>684</v>
      </c>
      <c r="I62" s="608" t="s">
        <v>684</v>
      </c>
      <c r="J62" s="608" t="s">
        <v>684</v>
      </c>
      <c r="K62" s="608" t="s">
        <v>684</v>
      </c>
      <c r="L62" s="617">
        <v>5.7006570790641799E-5</v>
      </c>
      <c r="M62" s="617">
        <v>5.7006570790641799E-5</v>
      </c>
      <c r="N62" s="617">
        <v>5.7006570790642002E-5</v>
      </c>
      <c r="O62" s="617">
        <v>5.7006570790641799E-5</v>
      </c>
      <c r="P62" s="617">
        <v>5.7006570790641799E-5</v>
      </c>
      <c r="Q62" s="617">
        <v>5.7006570790641799E-5</v>
      </c>
      <c r="R62" s="617">
        <v>5.7006570790641799E-5</v>
      </c>
      <c r="S62" s="617">
        <v>5.7006570790641799E-5</v>
      </c>
      <c r="T62" s="613" t="s">
        <v>684</v>
      </c>
      <c r="U62" s="614" t="s">
        <v>684</v>
      </c>
      <c r="V62" s="615" t="s">
        <v>685</v>
      </c>
      <c r="W62" s="646">
        <f t="shared" si="0"/>
        <v>5.7915549448064998E-5</v>
      </c>
    </row>
    <row r="63" spans="2:23">
      <c r="B63" s="606" t="s">
        <v>688</v>
      </c>
      <c r="C63" s="617">
        <v>1.14533325373176E-4</v>
      </c>
      <c r="D63" s="617">
        <v>1.14592365166989E-4</v>
      </c>
      <c r="E63" s="617">
        <v>1.1402859355857301E-4</v>
      </c>
      <c r="F63" s="617">
        <v>1.14142093042703E-4</v>
      </c>
      <c r="G63" s="617">
        <v>1.14092566195503E-4</v>
      </c>
      <c r="H63" s="617">
        <v>1.14092566195503E-4</v>
      </c>
      <c r="I63" s="617">
        <v>1.14092566195503E-4</v>
      </c>
      <c r="J63" s="608" t="s">
        <v>684</v>
      </c>
      <c r="K63" s="617">
        <v>1.14092566195502E-4</v>
      </c>
      <c r="L63" s="617">
        <v>1.14092566195503E-4</v>
      </c>
      <c r="M63" s="617">
        <v>1.14092566195503E-4</v>
      </c>
      <c r="N63" s="617">
        <v>1.14092566195503E-4</v>
      </c>
      <c r="O63" s="617">
        <v>1.14092566195503E-4</v>
      </c>
      <c r="P63" s="617">
        <v>1.14092566195503E-4</v>
      </c>
      <c r="Q63" s="617">
        <v>1.14092566195503E-4</v>
      </c>
      <c r="R63" s="617">
        <v>1.14092566195503E-4</v>
      </c>
      <c r="S63" s="617">
        <v>1.14092566195503E-4</v>
      </c>
      <c r="T63" s="618">
        <v>1.14142093042703E-4</v>
      </c>
      <c r="U63" s="610">
        <v>-4.3390519552870602E-4</v>
      </c>
      <c r="V63" s="611" t="s">
        <v>685</v>
      </c>
      <c r="W63" s="646">
        <f t="shared" si="0"/>
        <v>1.14592365166989E-4</v>
      </c>
    </row>
    <row r="64" spans="2:23">
      <c r="B64" s="606" t="s">
        <v>689</v>
      </c>
      <c r="C64" s="617">
        <v>9.7808398794274001E-6</v>
      </c>
      <c r="D64" s="617">
        <v>1.0202801507662E-5</v>
      </c>
      <c r="E64" s="617">
        <v>1.11321076730193E-5</v>
      </c>
      <c r="F64" s="617">
        <v>1.1726761977940699E-5</v>
      </c>
      <c r="G64" s="617">
        <v>1.1570893965875101E-5</v>
      </c>
      <c r="H64" s="617">
        <v>1.1570893965875101E-5</v>
      </c>
      <c r="I64" s="617">
        <v>1.1570893965875101E-5</v>
      </c>
      <c r="J64" s="617">
        <v>1.1570893965875101E-5</v>
      </c>
      <c r="K64" s="617">
        <v>1.1570893965875101E-5</v>
      </c>
      <c r="L64" s="617">
        <v>1.1570893965875101E-5</v>
      </c>
      <c r="M64" s="617">
        <v>1.1570893965875101E-5</v>
      </c>
      <c r="N64" s="617">
        <v>1.1570893965875101E-5</v>
      </c>
      <c r="O64" s="617">
        <v>1.1570893965875101E-5</v>
      </c>
      <c r="P64" s="617">
        <v>1.1570893965875101E-5</v>
      </c>
      <c r="Q64" s="617">
        <v>1.1570893965875101E-5</v>
      </c>
      <c r="R64" s="617">
        <v>1.1570893965875101E-5</v>
      </c>
      <c r="S64" s="617">
        <v>1.1570893965875101E-5</v>
      </c>
      <c r="T64" s="618">
        <v>1.1726761977940699E-5</v>
      </c>
      <c r="U64" s="610">
        <v>-1.3291649677784401E-2</v>
      </c>
      <c r="V64" s="611" t="s">
        <v>685</v>
      </c>
      <c r="W64" s="646">
        <f t="shared" si="0"/>
        <v>1.1726761977940699E-5</v>
      </c>
    </row>
    <row r="65" spans="2:23">
      <c r="B65" s="606" t="s">
        <v>690</v>
      </c>
      <c r="C65" s="617">
        <v>9.8486006565762804E-6</v>
      </c>
      <c r="D65" s="617">
        <v>1.0219834199371599E-5</v>
      </c>
      <c r="E65" s="617">
        <v>1.11657672306084E-5</v>
      </c>
      <c r="F65" s="617">
        <v>1.1724529083238301E-5</v>
      </c>
      <c r="G65" s="617">
        <v>1.14991855385486E-5</v>
      </c>
      <c r="H65" s="617">
        <v>1.14991855385486E-5</v>
      </c>
      <c r="I65" s="617">
        <v>1.14991855385487E-5</v>
      </c>
      <c r="J65" s="617">
        <v>1.14991855385486E-5</v>
      </c>
      <c r="K65" s="617">
        <v>1.14991855385486E-5</v>
      </c>
      <c r="L65" s="617">
        <v>1.14991855385486E-5</v>
      </c>
      <c r="M65" s="617">
        <v>1.14991855385486E-5</v>
      </c>
      <c r="N65" s="617">
        <v>1.14991855385486E-5</v>
      </c>
      <c r="O65" s="617">
        <v>1.14991855385486E-5</v>
      </c>
      <c r="P65" s="617">
        <v>1.14991855385486E-5</v>
      </c>
      <c r="Q65" s="617">
        <v>1.14991855385486E-5</v>
      </c>
      <c r="R65" s="617">
        <v>1.14991855385487E-5</v>
      </c>
      <c r="S65" s="617">
        <v>1.14991855385486E-5</v>
      </c>
      <c r="T65" s="618">
        <v>1.1724529083238301E-5</v>
      </c>
      <c r="U65" s="612">
        <v>-1.9219837580669499E-2</v>
      </c>
      <c r="V65" s="611" t="s">
        <v>685</v>
      </c>
      <c r="W65" s="646">
        <f t="shared" si="0"/>
        <v>1.1724529083238301E-5</v>
      </c>
    </row>
    <row r="66" spans="2:23">
      <c r="B66" s="606" t="s">
        <v>691</v>
      </c>
      <c r="C66" s="617">
        <v>9.8620209572749303E-6</v>
      </c>
      <c r="D66" s="617">
        <v>1.0244747893356301E-5</v>
      </c>
      <c r="E66" s="617">
        <v>1.11233597976968E-5</v>
      </c>
      <c r="F66" s="617">
        <v>1.17266498089463E-5</v>
      </c>
      <c r="G66" s="617">
        <v>1.19993393010557E-5</v>
      </c>
      <c r="H66" s="617">
        <v>1.19993393010557E-5</v>
      </c>
      <c r="I66" s="617">
        <v>1.19993393010557E-5</v>
      </c>
      <c r="J66" s="617">
        <v>1.19993393010557E-5</v>
      </c>
      <c r="K66" s="617">
        <v>1.19993393010557E-5</v>
      </c>
      <c r="L66" s="617">
        <v>1.19993393010557E-5</v>
      </c>
      <c r="M66" s="617">
        <v>1.19993393010557E-5</v>
      </c>
      <c r="N66" s="617">
        <v>1.19993393010557E-5</v>
      </c>
      <c r="O66" s="617">
        <v>1.19993393010557E-5</v>
      </c>
      <c r="P66" s="617">
        <v>1.19993393010557E-5</v>
      </c>
      <c r="Q66" s="617">
        <v>1.19993393010557E-5</v>
      </c>
      <c r="R66" s="617">
        <v>1.19993393010557E-5</v>
      </c>
      <c r="S66" s="617">
        <v>1.19993393010557E-5</v>
      </c>
      <c r="T66" s="618">
        <v>1.17266498089463E-5</v>
      </c>
      <c r="U66" s="619">
        <v>2.32538275255211E-2</v>
      </c>
      <c r="V66" s="611" t="s">
        <v>685</v>
      </c>
      <c r="W66" s="646">
        <f t="shared" si="0"/>
        <v>1.19993393010557E-5</v>
      </c>
    </row>
    <row r="67" spans="2:23">
      <c r="B67" s="606" t="s">
        <v>707</v>
      </c>
      <c r="C67" s="617">
        <v>6.6028447524370804E-5</v>
      </c>
      <c r="D67" s="617">
        <v>6.6028447524370804E-5</v>
      </c>
      <c r="E67" s="617">
        <v>6.6028447524370899E-5</v>
      </c>
      <c r="F67" s="617">
        <v>6.6028447524370804E-5</v>
      </c>
      <c r="G67" s="617">
        <v>6.6028447524370994E-5</v>
      </c>
      <c r="H67" s="617">
        <v>6.6028447524370804E-5</v>
      </c>
      <c r="I67" s="617">
        <v>6.6028447524370696E-5</v>
      </c>
      <c r="J67" s="617">
        <v>6.6028447524370696E-5</v>
      </c>
      <c r="K67" s="617">
        <v>6.6028447524370696E-5</v>
      </c>
      <c r="L67" s="617">
        <v>6.6028447524370804E-5</v>
      </c>
      <c r="M67" s="617">
        <v>6.6028447524370804E-5</v>
      </c>
      <c r="N67" s="617">
        <v>6.6028447524370899E-5</v>
      </c>
      <c r="O67" s="617">
        <v>6.6028447524370899E-5</v>
      </c>
      <c r="P67" s="617">
        <v>6.6028447524370899E-5</v>
      </c>
      <c r="Q67" s="617">
        <v>6.6028447524370899E-5</v>
      </c>
      <c r="R67" s="617">
        <v>6.6028447524370696E-5</v>
      </c>
      <c r="S67" s="617">
        <v>6.6028447524370804E-5</v>
      </c>
      <c r="T67" s="618">
        <v>6.6028447524370804E-5</v>
      </c>
      <c r="U67" s="619">
        <v>6.1575855548019495E-16</v>
      </c>
      <c r="V67" s="611" t="s">
        <v>685</v>
      </c>
      <c r="W67" s="646">
        <f t="shared" si="0"/>
        <v>6.6028447524370899E-5</v>
      </c>
    </row>
    <row r="68" spans="2:23">
      <c r="B68" s="606" t="s">
        <v>708</v>
      </c>
      <c r="C68" s="617">
        <v>6.6028447524370804E-5</v>
      </c>
      <c r="D68" s="617">
        <v>6.6028447524370899E-5</v>
      </c>
      <c r="E68" s="617">
        <v>6.6028447524370899E-5</v>
      </c>
      <c r="F68" s="617">
        <v>6.6028447524370804E-5</v>
      </c>
      <c r="G68" s="617">
        <v>6.6028447524370804E-5</v>
      </c>
      <c r="H68" s="617">
        <v>6.6028447524370804E-5</v>
      </c>
      <c r="I68" s="617">
        <v>6.6028447524370804E-5</v>
      </c>
      <c r="J68" s="617">
        <v>6.6028447524370804E-5</v>
      </c>
      <c r="K68" s="617">
        <v>6.6028447524370804E-5</v>
      </c>
      <c r="L68" s="617">
        <v>6.6028447524370899E-5</v>
      </c>
      <c r="M68" s="617">
        <v>6.6028447524370899E-5</v>
      </c>
      <c r="N68" s="617">
        <v>6.6028447524370899E-5</v>
      </c>
      <c r="O68" s="617">
        <v>6.6028447524370804E-5</v>
      </c>
      <c r="P68" s="617">
        <v>6.6028447524370899E-5</v>
      </c>
      <c r="Q68" s="617">
        <v>6.6028447524370804E-5</v>
      </c>
      <c r="R68" s="617">
        <v>6.6028447524370804E-5</v>
      </c>
      <c r="S68" s="617">
        <v>6.6028447524370899E-5</v>
      </c>
      <c r="T68" s="618">
        <v>6.6028447524370804E-5</v>
      </c>
      <c r="U68" s="616">
        <v>8.2101140730692604E-16</v>
      </c>
      <c r="V68" s="611" t="s">
        <v>685</v>
      </c>
      <c r="W68" s="646">
        <f t="shared" si="0"/>
        <v>6.6028447524370899E-5</v>
      </c>
    </row>
    <row r="69" spans="2:23">
      <c r="B69" s="606" t="s">
        <v>713</v>
      </c>
      <c r="C69" s="617">
        <v>1.14533325373176E-4</v>
      </c>
      <c r="D69" s="617">
        <v>1.14592365166989E-4</v>
      </c>
      <c r="E69" s="617">
        <v>1.1402859355857301E-4</v>
      </c>
      <c r="F69" s="617">
        <v>1.14142093042703E-4</v>
      </c>
      <c r="G69" s="617">
        <v>1.14092566195503E-4</v>
      </c>
      <c r="H69" s="617">
        <v>1.14092566195503E-4</v>
      </c>
      <c r="I69" s="617">
        <v>1.14092566195503E-4</v>
      </c>
      <c r="J69" s="617">
        <v>1.14092566195503E-4</v>
      </c>
      <c r="K69" s="617">
        <v>1.14092566195503E-4</v>
      </c>
      <c r="L69" s="617">
        <v>1.14092566195503E-4</v>
      </c>
      <c r="M69" s="617">
        <v>1.14092566195503E-4</v>
      </c>
      <c r="N69" s="617">
        <v>1.14092566195503E-4</v>
      </c>
      <c r="O69" s="617">
        <v>1.14092566195503E-4</v>
      </c>
      <c r="P69" s="617">
        <v>1.14092566195503E-4</v>
      </c>
      <c r="Q69" s="617">
        <v>1.14092566195503E-4</v>
      </c>
      <c r="R69" s="617">
        <v>1.14092566195503E-4</v>
      </c>
      <c r="S69" s="617">
        <v>1.14092566195503E-4</v>
      </c>
      <c r="T69" s="618">
        <v>1.14142093042703E-4</v>
      </c>
      <c r="U69" s="610">
        <v>-4.3390519552977401E-4</v>
      </c>
      <c r="V69" s="611" t="s">
        <v>685</v>
      </c>
      <c r="W69" s="646">
        <f t="shared" si="0"/>
        <v>1.14592365166989E-4</v>
      </c>
    </row>
    <row r="70" spans="2:23">
      <c r="B70" s="606" t="s">
        <v>714</v>
      </c>
      <c r="C70" s="617">
        <v>1.0141264060504401E-5</v>
      </c>
      <c r="D70" s="617">
        <v>1.0141264060504401E-5</v>
      </c>
      <c r="E70" s="617">
        <v>1.0141264060504401E-5</v>
      </c>
      <c r="F70" s="617">
        <v>1.0141264060504401E-5</v>
      </c>
      <c r="G70" s="617">
        <v>1.0141264060504401E-5</v>
      </c>
      <c r="H70" s="617">
        <v>1.0141264060504301E-5</v>
      </c>
      <c r="I70" s="617">
        <v>1.0141264060504401E-5</v>
      </c>
      <c r="J70" s="617">
        <v>1.0141264060504401E-5</v>
      </c>
      <c r="K70" s="617">
        <v>1.0141264060504401E-5</v>
      </c>
      <c r="L70" s="617">
        <v>1.0141264060504401E-5</v>
      </c>
      <c r="M70" s="617">
        <v>1.0141264060504401E-5</v>
      </c>
      <c r="N70" s="617">
        <v>1.0141264060504401E-5</v>
      </c>
      <c r="O70" s="617">
        <v>1.0141264060504401E-5</v>
      </c>
      <c r="P70" s="617">
        <v>1.0141264060504401E-5</v>
      </c>
      <c r="Q70" s="617">
        <v>1.0141264060504401E-5</v>
      </c>
      <c r="R70" s="617">
        <v>1.0141264060504401E-5</v>
      </c>
      <c r="S70" s="617">
        <v>1.0141264060504401E-5</v>
      </c>
      <c r="T70" s="618">
        <v>1.0141264060504401E-5</v>
      </c>
      <c r="U70" s="612">
        <v>-1.00228090959955E-15</v>
      </c>
      <c r="V70" s="611" t="s">
        <v>685</v>
      </c>
      <c r="W70" s="646">
        <f t="shared" si="0"/>
        <v>1.0141264060504401E-5</v>
      </c>
    </row>
    <row r="71" spans="2:23">
      <c r="B71" s="606" t="s">
        <v>715</v>
      </c>
      <c r="C71" s="617">
        <v>1.0141264060504401E-5</v>
      </c>
      <c r="D71" s="617">
        <v>1.0141264060504401E-5</v>
      </c>
      <c r="E71" s="617">
        <v>1.0141264060504401E-5</v>
      </c>
      <c r="F71" s="617">
        <v>1.0141264060504401E-5</v>
      </c>
      <c r="G71" s="617">
        <v>1.0141264060504401E-5</v>
      </c>
      <c r="H71" s="617">
        <v>1.0141264060504401E-5</v>
      </c>
      <c r="I71" s="617">
        <v>1.0141264060504401E-5</v>
      </c>
      <c r="J71" s="617">
        <v>1.0141264060504401E-5</v>
      </c>
      <c r="K71" s="617">
        <v>1.0141264060504401E-5</v>
      </c>
      <c r="L71" s="617">
        <v>1.0141264060504401E-5</v>
      </c>
      <c r="M71" s="617">
        <v>1.0141264060504401E-5</v>
      </c>
      <c r="N71" s="617">
        <v>1.0141264060504401E-5</v>
      </c>
      <c r="O71" s="617">
        <v>1.0141264060504401E-5</v>
      </c>
      <c r="P71" s="617">
        <v>1.0141264060504401E-5</v>
      </c>
      <c r="Q71" s="617">
        <v>1.0141264060504401E-5</v>
      </c>
      <c r="R71" s="617">
        <v>1.0141264060504401E-5</v>
      </c>
      <c r="S71" s="617">
        <v>1.0141264060504401E-5</v>
      </c>
      <c r="T71" s="618">
        <v>1.0141264060504401E-5</v>
      </c>
      <c r="U71" s="619">
        <v>2.0045618191991102E-15</v>
      </c>
      <c r="V71" s="611" t="s">
        <v>685</v>
      </c>
      <c r="W71" s="646">
        <f t="shared" ref="W71:W73" si="1">MAX(C71:F71,S71)</f>
        <v>1.0141264060504401E-5</v>
      </c>
    </row>
    <row r="72" spans="2:23">
      <c r="B72" s="606" t="s">
        <v>716</v>
      </c>
      <c r="C72" s="617">
        <v>1.0141264060504401E-5</v>
      </c>
      <c r="D72" s="617">
        <v>1.0141264060504401E-5</v>
      </c>
      <c r="E72" s="617">
        <v>1.0141264060504401E-5</v>
      </c>
      <c r="F72" s="617">
        <v>1.0141264060504401E-5</v>
      </c>
      <c r="G72" s="617">
        <v>1.0141264060504401E-5</v>
      </c>
      <c r="H72" s="617">
        <v>1.0141264060504401E-5</v>
      </c>
      <c r="I72" s="617">
        <v>1.0141264060504401E-5</v>
      </c>
      <c r="J72" s="617">
        <v>1.0141264060504401E-5</v>
      </c>
      <c r="K72" s="617">
        <v>1.0141264060504401E-5</v>
      </c>
      <c r="L72" s="617">
        <v>1.0141264060504401E-5</v>
      </c>
      <c r="M72" s="617">
        <v>1.0141264060504401E-5</v>
      </c>
      <c r="N72" s="617">
        <v>1.0141264060504401E-5</v>
      </c>
      <c r="O72" s="617">
        <v>1.0141264060504401E-5</v>
      </c>
      <c r="P72" s="617">
        <v>1.0141264060504401E-5</v>
      </c>
      <c r="Q72" s="617">
        <v>1.0141264060504401E-5</v>
      </c>
      <c r="R72" s="617">
        <v>1.0141264060504401E-5</v>
      </c>
      <c r="S72" s="617">
        <v>1.0141264060504401E-5</v>
      </c>
      <c r="T72" s="618">
        <v>1.0141264060504401E-5</v>
      </c>
      <c r="U72" s="616">
        <v>8.3523409133296501E-16</v>
      </c>
      <c r="V72" s="611" t="s">
        <v>685</v>
      </c>
      <c r="W72" s="646">
        <f t="shared" si="1"/>
        <v>1.0141264060504401E-5</v>
      </c>
    </row>
    <row r="73" spans="2:23">
      <c r="B73" s="627" t="s">
        <v>723</v>
      </c>
      <c r="C73" s="631">
        <v>5.7270537947981603E-5</v>
      </c>
      <c r="D73" s="631">
        <v>5.7344927637341099E-5</v>
      </c>
      <c r="E73" s="631">
        <v>5.7850976123121199E-5</v>
      </c>
      <c r="F73" s="631">
        <v>5.9545161706534197E-5</v>
      </c>
      <c r="G73" s="631">
        <v>5.7470432624340598E-5</v>
      </c>
      <c r="H73" s="631">
        <v>5.7470432624340401E-5</v>
      </c>
      <c r="I73" s="631">
        <v>5.74704326243407E-5</v>
      </c>
      <c r="J73" s="631">
        <v>5.7470432624340598E-5</v>
      </c>
      <c r="K73" s="631">
        <v>5.7470432624340503E-5</v>
      </c>
      <c r="L73" s="631">
        <v>5.7470432624340598E-5</v>
      </c>
      <c r="M73" s="631">
        <v>5.74704326243407E-5</v>
      </c>
      <c r="N73" s="631">
        <v>5.74704326243407E-5</v>
      </c>
      <c r="O73" s="631">
        <v>5.7470432624340598E-5</v>
      </c>
      <c r="P73" s="631">
        <v>5.74704326243407E-5</v>
      </c>
      <c r="Q73" s="631">
        <v>5.7470432624340598E-5</v>
      </c>
      <c r="R73" s="631">
        <v>5.7470432624340903E-5</v>
      </c>
      <c r="S73" s="631">
        <v>5.7470432624340598E-5</v>
      </c>
      <c r="T73" s="632">
        <v>5.9545161706534197E-5</v>
      </c>
      <c r="U73" s="610">
        <v>-3.4842949833922998E-2</v>
      </c>
      <c r="V73" s="624" t="s">
        <v>685</v>
      </c>
      <c r="W73" s="646">
        <f t="shared" si="1"/>
        <v>5.9545161706534197E-5</v>
      </c>
    </row>
    <row r="74" spans="2:23">
      <c r="B74" s="633"/>
      <c r="C74" s="634"/>
      <c r="D74" s="634"/>
      <c r="E74" s="634"/>
      <c r="F74" s="634"/>
      <c r="G74" s="634"/>
      <c r="H74" s="634"/>
      <c r="I74" s="634"/>
      <c r="J74" s="634"/>
      <c r="K74" s="634"/>
      <c r="L74" s="634"/>
      <c r="M74" s="634"/>
      <c r="N74" s="634"/>
      <c r="O74" s="634"/>
      <c r="P74" s="634"/>
      <c r="Q74" s="634"/>
      <c r="R74" s="634"/>
      <c r="S74" s="634"/>
      <c r="T74" s="634"/>
      <c r="U74" s="635"/>
      <c r="V74" s="636"/>
    </row>
    <row r="75" spans="2:23">
      <c r="B75" s="637" t="s">
        <v>726</v>
      </c>
      <c r="C75" s="638"/>
      <c r="D75" s="638"/>
      <c r="E75" s="638"/>
      <c r="F75" s="638"/>
      <c r="G75" s="638"/>
      <c r="H75" s="638"/>
      <c r="I75" s="638"/>
      <c r="J75" s="638"/>
      <c r="K75" s="638"/>
      <c r="L75" s="638"/>
      <c r="M75" s="638"/>
      <c r="N75" s="638"/>
      <c r="O75" s="638"/>
      <c r="P75" s="638"/>
      <c r="Q75" s="638"/>
      <c r="R75" s="638"/>
      <c r="S75" s="638"/>
      <c r="T75" s="638"/>
      <c r="U75" s="638"/>
      <c r="V75" s="639"/>
    </row>
    <row r="76" spans="2:23">
      <c r="B76" s="640" t="s">
        <v>727</v>
      </c>
      <c r="C76" s="641"/>
      <c r="D76" s="641"/>
      <c r="E76" s="641"/>
      <c r="F76" s="641"/>
      <c r="G76" s="641"/>
      <c r="H76" s="641"/>
      <c r="I76" s="641"/>
      <c r="J76" s="641"/>
      <c r="K76" s="641"/>
      <c r="L76" s="641"/>
      <c r="M76" s="641"/>
      <c r="N76" s="641"/>
      <c r="O76" s="641"/>
      <c r="P76" s="641"/>
      <c r="Q76" s="641"/>
      <c r="R76" s="641"/>
      <c r="S76" s="641"/>
      <c r="T76" s="641"/>
      <c r="U76" s="641"/>
      <c r="V76" s="642"/>
    </row>
    <row r="77" spans="2:23">
      <c r="B77" s="640" t="s">
        <v>728</v>
      </c>
      <c r="C77" s="641"/>
      <c r="D77" s="641"/>
      <c r="E77" s="641"/>
      <c r="F77" s="641"/>
      <c r="G77" s="641"/>
      <c r="H77" s="641"/>
      <c r="I77" s="641"/>
      <c r="J77" s="641"/>
      <c r="K77" s="641"/>
      <c r="L77" s="641"/>
      <c r="M77" s="641"/>
      <c r="N77" s="641"/>
      <c r="O77" s="641"/>
      <c r="P77" s="641"/>
      <c r="Q77" s="641"/>
      <c r="R77" s="641"/>
      <c r="S77" s="641"/>
      <c r="T77" s="641"/>
      <c r="U77" s="641"/>
      <c r="V77" s="642"/>
    </row>
    <row r="78" spans="2:23">
      <c r="B78" s="640" t="s">
        <v>729</v>
      </c>
      <c r="C78" s="641"/>
      <c r="D78" s="641"/>
      <c r="E78" s="641"/>
      <c r="F78" s="641"/>
      <c r="G78" s="641"/>
      <c r="H78" s="641"/>
      <c r="I78" s="641"/>
      <c r="J78" s="641"/>
      <c r="K78" s="641"/>
      <c r="L78" s="641"/>
      <c r="M78" s="641"/>
      <c r="N78" s="641"/>
      <c r="O78" s="641"/>
      <c r="P78" s="641"/>
      <c r="Q78" s="641"/>
      <c r="R78" s="641"/>
      <c r="S78" s="641"/>
      <c r="T78" s="641"/>
      <c r="U78" s="641"/>
      <c r="V78" s="642"/>
    </row>
    <row r="79" spans="2:23">
      <c r="B79" s="640" t="s">
        <v>730</v>
      </c>
      <c r="C79" s="641"/>
      <c r="D79" s="641"/>
      <c r="E79" s="641"/>
      <c r="F79" s="641"/>
      <c r="G79" s="641"/>
      <c r="H79" s="641"/>
      <c r="I79" s="641"/>
      <c r="J79" s="641"/>
      <c r="K79" s="641"/>
      <c r="L79" s="641"/>
      <c r="M79" s="641"/>
      <c r="N79" s="641"/>
      <c r="O79" s="641"/>
      <c r="P79" s="641"/>
      <c r="Q79" s="641"/>
      <c r="R79" s="641"/>
      <c r="S79" s="641"/>
      <c r="T79" s="641"/>
      <c r="U79" s="641"/>
      <c r="V79" s="642"/>
    </row>
    <row r="80" spans="2:23">
      <c r="B80" s="640" t="s">
        <v>731</v>
      </c>
      <c r="C80" s="641"/>
      <c r="D80" s="641"/>
      <c r="E80" s="641"/>
      <c r="F80" s="641"/>
      <c r="G80" s="641"/>
      <c r="H80" s="641"/>
      <c r="I80" s="641"/>
      <c r="J80" s="641"/>
      <c r="K80" s="641"/>
      <c r="L80" s="641"/>
      <c r="M80" s="641"/>
      <c r="N80" s="641"/>
      <c r="O80" s="641"/>
      <c r="P80" s="641"/>
      <c r="Q80" s="641"/>
      <c r="R80" s="641"/>
      <c r="S80" s="641"/>
      <c r="T80" s="641"/>
      <c r="U80" s="641"/>
      <c r="V80" s="642"/>
    </row>
    <row r="81" spans="2:22">
      <c r="B81" s="643" t="s">
        <v>732</v>
      </c>
      <c r="C81" s="644"/>
      <c r="D81" s="644"/>
      <c r="E81" s="644"/>
      <c r="F81" s="644"/>
      <c r="G81" s="644"/>
      <c r="H81" s="644"/>
      <c r="I81" s="644"/>
      <c r="J81" s="644"/>
      <c r="K81" s="644"/>
      <c r="L81" s="644"/>
      <c r="M81" s="644"/>
      <c r="N81" s="644"/>
      <c r="O81" s="644"/>
      <c r="P81" s="644"/>
      <c r="Q81" s="644"/>
      <c r="R81" s="644"/>
      <c r="S81" s="644"/>
      <c r="T81" s="644"/>
      <c r="U81" s="644"/>
      <c r="V81" s="6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55"/>
  <sheetViews>
    <sheetView topLeftCell="A13" zoomScaleNormal="100" zoomScaleSheetLayoutView="100" workbookViewId="0">
      <selection activeCell="B2" sqref="B2:G52"/>
    </sheetView>
  </sheetViews>
  <sheetFormatPr defaultColWidth="8.85546875" defaultRowHeight="12.75"/>
  <cols>
    <col min="1" max="1" width="3" style="90" customWidth="1"/>
    <col min="2" max="2" width="43.7109375" style="90" customWidth="1"/>
    <col min="3" max="6" width="13.140625" style="90" customWidth="1"/>
    <col min="7" max="7" width="57" style="90" bestFit="1" customWidth="1"/>
    <col min="8" max="16384" width="8.85546875" style="90"/>
  </cols>
  <sheetData>
    <row r="2" spans="2:8" s="6" customFormat="1">
      <c r="B2" s="5" t="str">
        <f>'Key Inputs'!B2</f>
        <v>Company Name:</v>
      </c>
      <c r="C2" s="279" t="str">
        <f>'Key Inputs'!C2</f>
        <v>U. S. Steel Corp.</v>
      </c>
      <c r="F2" s="5"/>
    </row>
    <row r="3" spans="2:8" s="6" customFormat="1">
      <c r="B3" s="5" t="str">
        <f>'Key Inputs'!B3</f>
        <v>Site Name:</v>
      </c>
      <c r="C3" s="279" t="str">
        <f>'Key Inputs'!C3</f>
        <v>Edgar Thomson Plant</v>
      </c>
      <c r="F3" s="5"/>
    </row>
    <row r="4" spans="2:8" s="6" customFormat="1">
      <c r="B4" s="5" t="str">
        <f>'Key Inputs'!B4</f>
        <v>Description:</v>
      </c>
      <c r="C4" s="279" t="str">
        <f>'Key Inputs'!C4</f>
        <v>Title V Permit Renewal</v>
      </c>
      <c r="F4" s="5"/>
    </row>
    <row r="5" spans="2:8" s="6" customFormat="1">
      <c r="B5" s="5" t="str">
        <f>'Key Inputs'!B5</f>
        <v>Date:</v>
      </c>
      <c r="C5" s="281" t="str">
        <f>'Key Inputs'!C5</f>
        <v>10/7/2020 - DRAFT</v>
      </c>
      <c r="F5" s="5"/>
    </row>
    <row r="6" spans="2:8" s="6" customFormat="1">
      <c r="B6" s="5"/>
      <c r="C6" s="5"/>
      <c r="D6" s="5"/>
      <c r="F6" s="5"/>
    </row>
    <row r="7" spans="2:8" s="11" customFormat="1">
      <c r="B7" s="10" t="s">
        <v>284</v>
      </c>
      <c r="C7" s="10"/>
      <c r="D7" s="10"/>
      <c r="F7" s="10"/>
    </row>
    <row r="8" spans="2:8">
      <c r="B8" s="133"/>
      <c r="C8" s="133"/>
      <c r="D8" s="133"/>
    </row>
    <row r="9" spans="2:8">
      <c r="B9" s="134" t="s">
        <v>25</v>
      </c>
      <c r="C9" s="134" t="s">
        <v>181</v>
      </c>
      <c r="D9" s="133"/>
    </row>
    <row r="10" spans="2:8">
      <c r="B10" s="134" t="s">
        <v>56</v>
      </c>
      <c r="C10" s="135" t="s">
        <v>180</v>
      </c>
      <c r="D10" s="133"/>
    </row>
    <row r="11" spans="2:8">
      <c r="B11" s="134" t="s">
        <v>291</v>
      </c>
      <c r="C11" s="135" t="s">
        <v>294</v>
      </c>
      <c r="D11" s="133"/>
    </row>
    <row r="12" spans="2:8" s="91" customFormat="1">
      <c r="B12" s="136" t="s">
        <v>59</v>
      </c>
      <c r="C12" s="137">
        <f>'Key Inputs'!$G$15</f>
        <v>8760</v>
      </c>
      <c r="D12" s="138" t="s">
        <v>60</v>
      </c>
    </row>
    <row r="13" spans="2:8" s="91" customFormat="1">
      <c r="B13" s="136" t="s">
        <v>61</v>
      </c>
      <c r="C13" s="138" t="s">
        <v>27</v>
      </c>
      <c r="D13" s="138"/>
    </row>
    <row r="14" spans="2:8" s="91" customFormat="1">
      <c r="B14" s="136" t="s">
        <v>28</v>
      </c>
      <c r="C14" s="138" t="s">
        <v>48</v>
      </c>
      <c r="D14" s="138"/>
    </row>
    <row r="15" spans="2:8" s="91" customFormat="1">
      <c r="B15" s="20" t="s">
        <v>287</v>
      </c>
      <c r="C15" s="171">
        <f>3*8760</f>
        <v>26280</v>
      </c>
      <c r="D15" s="138" t="s">
        <v>31</v>
      </c>
      <c r="H15" s="191" t="s">
        <v>288</v>
      </c>
    </row>
    <row r="16" spans="2:8" s="91" customFormat="1">
      <c r="B16" s="136" t="s">
        <v>57</v>
      </c>
      <c r="C16" s="171">
        <f>C15*C17</f>
        <v>2365200</v>
      </c>
      <c r="D16" s="138" t="s">
        <v>24</v>
      </c>
    </row>
    <row r="17" spans="2:19" s="91" customFormat="1">
      <c r="B17" s="136" t="s">
        <v>58</v>
      </c>
      <c r="C17" s="171">
        <f>'Key Inputs'!D44</f>
        <v>90</v>
      </c>
      <c r="D17" s="138" t="s">
        <v>30</v>
      </c>
    </row>
    <row r="18" spans="2:19" s="91" customFormat="1" ht="13.5" thickBot="1">
      <c r="B18" s="138"/>
      <c r="C18" s="138"/>
      <c r="D18" s="138"/>
    </row>
    <row r="19" spans="2:19" s="91" customFormat="1" ht="5.0999999999999996" customHeight="1">
      <c r="B19" s="139"/>
      <c r="C19" s="140"/>
      <c r="D19" s="141"/>
      <c r="E19" s="142"/>
      <c r="F19" s="142"/>
      <c r="G19" s="143"/>
    </row>
    <row r="20" spans="2:19" s="91" customFormat="1" ht="38.450000000000003" customHeight="1">
      <c r="B20" s="144" t="s">
        <v>32</v>
      </c>
      <c r="C20" s="34" t="s">
        <v>97</v>
      </c>
      <c r="D20" s="34" t="s">
        <v>33</v>
      </c>
      <c r="E20" s="145" t="s">
        <v>139</v>
      </c>
      <c r="F20" s="145" t="s">
        <v>143</v>
      </c>
      <c r="G20" s="146" t="s">
        <v>36</v>
      </c>
    </row>
    <row r="21" spans="2:19" s="91" customFormat="1" ht="5.0999999999999996" customHeight="1" thickBot="1">
      <c r="B21" s="147"/>
      <c r="C21" s="148"/>
      <c r="D21" s="149"/>
      <c r="E21" s="52"/>
      <c r="F21" s="52"/>
      <c r="G21" s="81"/>
    </row>
    <row r="22" spans="2:19" s="91" customFormat="1" ht="5.0999999999999996" customHeight="1">
      <c r="B22" s="139"/>
      <c r="C22" s="140"/>
      <c r="D22" s="141"/>
      <c r="E22" s="142"/>
      <c r="F22" s="142"/>
      <c r="G22" s="143"/>
    </row>
    <row r="23" spans="2:19" s="91" customFormat="1">
      <c r="B23" s="150" t="s">
        <v>37</v>
      </c>
      <c r="C23" s="151"/>
      <c r="D23" s="152"/>
      <c r="E23" s="153"/>
      <c r="F23" s="52"/>
      <c r="G23" s="81"/>
    </row>
    <row r="24" spans="2:19" s="91" customFormat="1">
      <c r="B24" s="154" t="s">
        <v>38</v>
      </c>
      <c r="C24" s="155">
        <f t="shared" ref="C24:C30" si="0">D24*2000/$C$12</f>
        <v>0.64285714285714191</v>
      </c>
      <c r="D24" s="80">
        <f>E24*$C$15/2000</f>
        <v>2.8157142857142818</v>
      </c>
      <c r="E24" s="163">
        <f>0.214285714285714</f>
        <v>0.214285714285714</v>
      </c>
      <c r="F24" s="46" t="s">
        <v>39</v>
      </c>
      <c r="G24" s="47" t="s">
        <v>802</v>
      </c>
      <c r="H24" s="795" t="s">
        <v>798</v>
      </c>
      <c r="I24" s="796"/>
      <c r="J24" s="796"/>
      <c r="K24" s="796"/>
      <c r="L24" s="796"/>
      <c r="M24" s="796"/>
      <c r="N24" s="796"/>
      <c r="O24" s="796"/>
      <c r="P24" s="796"/>
      <c r="Q24" s="796"/>
      <c r="R24" s="796"/>
      <c r="S24" s="796"/>
    </row>
    <row r="25" spans="2:19" s="91" customFormat="1" ht="14.25">
      <c r="B25" s="154" t="s">
        <v>146</v>
      </c>
      <c r="C25" s="155">
        <f t="shared" si="0"/>
        <v>0.3278571428571424</v>
      </c>
      <c r="D25" s="80">
        <f>E25*$C$15/2000</f>
        <v>1.4360142857142837</v>
      </c>
      <c r="E25" s="163">
        <f>E24*51%</f>
        <v>0.10928571428571414</v>
      </c>
      <c r="F25" s="46" t="s">
        <v>39</v>
      </c>
      <c r="G25" s="156" t="s">
        <v>249</v>
      </c>
      <c r="H25" s="797"/>
      <c r="I25" s="796"/>
      <c r="J25" s="796"/>
      <c r="K25" s="796"/>
      <c r="L25" s="796"/>
      <c r="M25" s="796"/>
      <c r="N25" s="796"/>
      <c r="O25" s="796"/>
      <c r="P25" s="796"/>
      <c r="Q25" s="796"/>
      <c r="R25" s="796"/>
      <c r="S25" s="796"/>
    </row>
    <row r="26" spans="2:19" s="91" customFormat="1" ht="14.25">
      <c r="B26" s="154" t="s">
        <v>163</v>
      </c>
      <c r="C26" s="155">
        <f t="shared" si="0"/>
        <v>0.14785714285714269</v>
      </c>
      <c r="D26" s="80">
        <f>E26*$C$15/2000</f>
        <v>0.64761428571428492</v>
      </c>
      <c r="E26" s="163">
        <f>E24*23%</f>
        <v>4.9285714285714224E-2</v>
      </c>
      <c r="F26" s="46" t="s">
        <v>39</v>
      </c>
      <c r="G26" s="156" t="s">
        <v>250</v>
      </c>
      <c r="H26" s="797"/>
      <c r="I26" s="796"/>
      <c r="J26" s="796"/>
      <c r="K26" s="796"/>
      <c r="L26" s="796"/>
      <c r="M26" s="796"/>
      <c r="N26" s="796"/>
      <c r="O26" s="796"/>
      <c r="P26" s="796"/>
      <c r="Q26" s="796"/>
      <c r="R26" s="796"/>
      <c r="S26" s="796"/>
    </row>
    <row r="27" spans="2:19" s="91" customFormat="1">
      <c r="B27" s="154" t="s">
        <v>62</v>
      </c>
      <c r="C27" s="155">
        <f t="shared" si="0"/>
        <v>18.36</v>
      </c>
      <c r="D27" s="80">
        <f>E27*$C$16/2000</f>
        <v>80.416800000000009</v>
      </c>
      <c r="E27" s="319">
        <f>0.068</f>
        <v>6.8000000000000005E-2</v>
      </c>
      <c r="F27" s="46" t="s">
        <v>45</v>
      </c>
      <c r="G27" s="333" t="s">
        <v>285</v>
      </c>
    </row>
    <row r="28" spans="2:19" s="91" customFormat="1">
      <c r="B28" s="48" t="s">
        <v>65</v>
      </c>
      <c r="C28" s="155"/>
      <c r="D28" s="80"/>
      <c r="E28" s="772"/>
      <c r="F28" s="52"/>
      <c r="G28" s="314" t="s">
        <v>279</v>
      </c>
    </row>
    <row r="29" spans="2:19" s="91" customFormat="1">
      <c r="B29" s="154" t="s">
        <v>110</v>
      </c>
      <c r="C29" s="155">
        <f t="shared" si="0"/>
        <v>83.7</v>
      </c>
      <c r="D29" s="80">
        <f>E29*$C$16/2000</f>
        <v>366.60599999999999</v>
      </c>
      <c r="E29" s="334">
        <f>0.31</f>
        <v>0.31</v>
      </c>
      <c r="F29" s="46" t="s">
        <v>45</v>
      </c>
      <c r="G29" s="333" t="s">
        <v>286</v>
      </c>
    </row>
    <row r="30" spans="2:19" s="91" customFormat="1" ht="14.25">
      <c r="B30" s="154" t="s">
        <v>164</v>
      </c>
      <c r="C30" s="155">
        <f t="shared" si="0"/>
        <v>45.9</v>
      </c>
      <c r="D30" s="80">
        <f>E30*$C$16/2000</f>
        <v>201.042</v>
      </c>
      <c r="E30" s="80">
        <f>0.17</f>
        <v>0.17</v>
      </c>
      <c r="F30" s="46" t="s">
        <v>45</v>
      </c>
      <c r="G30" s="47" t="s">
        <v>803</v>
      </c>
      <c r="H30" s="795" t="s">
        <v>798</v>
      </c>
      <c r="I30" s="796"/>
      <c r="J30" s="796"/>
      <c r="K30" s="796"/>
      <c r="L30" s="796"/>
      <c r="M30" s="796"/>
      <c r="N30" s="796"/>
      <c r="O30" s="796"/>
      <c r="P30" s="796"/>
      <c r="Q30" s="796"/>
      <c r="R30" s="796"/>
      <c r="S30" s="796"/>
    </row>
    <row r="31" spans="2:19">
      <c r="B31" s="157"/>
      <c r="C31" s="158"/>
      <c r="D31" s="158"/>
      <c r="E31" s="158"/>
      <c r="F31" s="158"/>
      <c r="G31" s="159"/>
      <c r="H31" s="797"/>
      <c r="I31" s="796"/>
      <c r="J31" s="796"/>
      <c r="K31" s="796"/>
      <c r="L31" s="796"/>
      <c r="M31" s="796"/>
      <c r="N31" s="796"/>
      <c r="O31" s="796"/>
      <c r="P31" s="796"/>
      <c r="Q31" s="796"/>
      <c r="R31" s="796"/>
      <c r="S31" s="796"/>
    </row>
    <row r="32" spans="2:19" s="16" customFormat="1">
      <c r="B32" s="43" t="s">
        <v>41</v>
      </c>
      <c r="C32" s="44"/>
      <c r="D32" s="54"/>
      <c r="E32" s="56"/>
      <c r="F32" s="57"/>
      <c r="G32" s="300"/>
      <c r="H32" s="797"/>
      <c r="I32" s="796"/>
      <c r="J32" s="796"/>
      <c r="K32" s="796"/>
      <c r="L32" s="796"/>
      <c r="M32" s="796"/>
      <c r="N32" s="796"/>
      <c r="O32" s="796"/>
      <c r="P32" s="796"/>
      <c r="Q32" s="796"/>
      <c r="R32" s="796"/>
      <c r="S32" s="796"/>
    </row>
    <row r="33" spans="2:11" s="16" customFormat="1">
      <c r="B33" s="58" t="s">
        <v>86</v>
      </c>
      <c r="C33" s="49"/>
      <c r="D33" s="50"/>
      <c r="E33" s="80"/>
      <c r="F33" s="52"/>
      <c r="G33" s="301"/>
      <c r="I33" s="304"/>
      <c r="J33" s="304"/>
      <c r="K33" s="304"/>
    </row>
    <row r="34" spans="2:11" s="16" customFormat="1">
      <c r="B34" s="48" t="s">
        <v>234</v>
      </c>
      <c r="C34" s="62">
        <f>$C$24*E34%</f>
        <v>6.235714285714277E-6</v>
      </c>
      <c r="D34" s="62">
        <f>$D$24*E34%</f>
        <v>2.7312428571428534E-5</v>
      </c>
      <c r="E34" s="82">
        <v>9.7000000000000005E-4</v>
      </c>
      <c r="F34" s="52" t="s">
        <v>245</v>
      </c>
      <c r="G34" s="301" t="s">
        <v>246</v>
      </c>
      <c r="I34" s="304"/>
      <c r="J34" s="304"/>
      <c r="K34" s="304"/>
    </row>
    <row r="35" spans="2:11" s="16" customFormat="1">
      <c r="B35" s="48" t="s">
        <v>235</v>
      </c>
      <c r="C35" s="62">
        <f t="shared" ref="C35:C45" si="1">$C$24*E35%</f>
        <v>7.7142857142857021E-7</v>
      </c>
      <c r="D35" s="62">
        <f t="shared" ref="D35:D45" si="2">$D$24*E35%</f>
        <v>3.3788571428571382E-6</v>
      </c>
      <c r="E35" s="82">
        <v>1.2E-4</v>
      </c>
      <c r="F35" s="52" t="s">
        <v>245</v>
      </c>
      <c r="G35" s="301" t="s">
        <v>246</v>
      </c>
      <c r="I35" s="304"/>
      <c r="J35" s="304"/>
      <c r="K35" s="304"/>
    </row>
    <row r="36" spans="2:11" s="16" customFormat="1">
      <c r="B36" s="48" t="s">
        <v>236</v>
      </c>
      <c r="C36" s="62">
        <f t="shared" si="1"/>
        <v>7.7142857142857021E-7</v>
      </c>
      <c r="D36" s="62">
        <f t="shared" si="2"/>
        <v>3.3788571428571382E-6</v>
      </c>
      <c r="E36" s="82">
        <v>1.2E-4</v>
      </c>
      <c r="F36" s="52" t="s">
        <v>245</v>
      </c>
      <c r="G36" s="301" t="s">
        <v>246</v>
      </c>
      <c r="I36" s="304"/>
      <c r="J36" s="304"/>
      <c r="K36" s="304"/>
    </row>
    <row r="37" spans="2:11" s="16" customFormat="1">
      <c r="B37" s="48" t="s">
        <v>237</v>
      </c>
      <c r="C37" s="62">
        <f t="shared" si="1"/>
        <v>2.1214285714285683E-6</v>
      </c>
      <c r="D37" s="62">
        <f t="shared" si="2"/>
        <v>9.2918571428571301E-6</v>
      </c>
      <c r="E37" s="82">
        <v>3.3E-4</v>
      </c>
      <c r="F37" s="52" t="s">
        <v>245</v>
      </c>
      <c r="G37" s="301" t="s">
        <v>246</v>
      </c>
      <c r="I37" s="304"/>
      <c r="J37" s="304"/>
      <c r="K37" s="304"/>
    </row>
    <row r="38" spans="2:11" s="16" customFormat="1">
      <c r="B38" s="48" t="s">
        <v>238</v>
      </c>
      <c r="C38" s="62">
        <f t="shared" si="1"/>
        <v>1.0472142857142842E-4</v>
      </c>
      <c r="D38" s="62">
        <f t="shared" si="2"/>
        <v>4.5867985714285651E-4</v>
      </c>
      <c r="E38" s="82">
        <v>1.6289999999999999E-2</v>
      </c>
      <c r="F38" s="52" t="s">
        <v>245</v>
      </c>
      <c r="G38" s="301" t="s">
        <v>246</v>
      </c>
      <c r="I38" s="304"/>
      <c r="J38" s="304"/>
      <c r="K38" s="304"/>
    </row>
    <row r="39" spans="2:11" s="16" customFormat="1">
      <c r="B39" s="48" t="s">
        <v>239</v>
      </c>
      <c r="C39" s="62">
        <f t="shared" si="1"/>
        <v>1.7357142857142832E-6</v>
      </c>
      <c r="D39" s="62">
        <f t="shared" si="2"/>
        <v>7.6024285714285612E-6</v>
      </c>
      <c r="E39" s="82">
        <v>2.7E-4</v>
      </c>
      <c r="F39" s="52" t="s">
        <v>245</v>
      </c>
      <c r="G39" s="301" t="s">
        <v>246</v>
      </c>
      <c r="I39" s="304"/>
      <c r="J39" s="304"/>
      <c r="K39" s="304"/>
    </row>
    <row r="40" spans="2:11" s="16" customFormat="1">
      <c r="B40" s="48" t="s">
        <v>91</v>
      </c>
      <c r="C40" s="62">
        <f t="shared" si="1"/>
        <v>4.4742857142857077E-5</v>
      </c>
      <c r="D40" s="62">
        <f t="shared" si="2"/>
        <v>1.9597371428571402E-4</v>
      </c>
      <c r="E40" s="82">
        <v>6.96E-3</v>
      </c>
      <c r="F40" s="52" t="s">
        <v>245</v>
      </c>
      <c r="G40" s="301" t="s">
        <v>246</v>
      </c>
      <c r="I40" s="304"/>
      <c r="J40" s="304"/>
      <c r="K40" s="304"/>
    </row>
    <row r="41" spans="2:11" s="16" customFormat="1">
      <c r="B41" s="48" t="s">
        <v>240</v>
      </c>
      <c r="C41" s="62">
        <f t="shared" si="1"/>
        <v>2.1475928571428539E-3</v>
      </c>
      <c r="D41" s="62">
        <f t="shared" si="2"/>
        <v>9.4064567142857006E-3</v>
      </c>
      <c r="E41" s="82">
        <v>0.33406999999999998</v>
      </c>
      <c r="F41" s="52" t="s">
        <v>245</v>
      </c>
      <c r="G41" s="301" t="s">
        <v>246</v>
      </c>
      <c r="I41" s="304"/>
      <c r="J41" s="304"/>
      <c r="K41" s="304"/>
    </row>
    <row r="42" spans="2:11" s="16" customFormat="1">
      <c r="B42" s="48" t="s">
        <v>241</v>
      </c>
      <c r="C42" s="62">
        <f t="shared" si="1"/>
        <v>2.1664285714285682E-9</v>
      </c>
      <c r="D42" s="62">
        <f t="shared" si="2"/>
        <v>9.4889571428571302E-9</v>
      </c>
      <c r="E42" s="82">
        <v>3.3700000000000001E-7</v>
      </c>
      <c r="F42" s="52" t="s">
        <v>245</v>
      </c>
      <c r="G42" s="301" t="s">
        <v>246</v>
      </c>
      <c r="I42" s="304"/>
      <c r="J42" s="304"/>
      <c r="K42" s="304"/>
    </row>
    <row r="43" spans="2:11" s="16" customFormat="1">
      <c r="B43" s="48" t="s">
        <v>242</v>
      </c>
      <c r="C43" s="62">
        <f t="shared" si="1"/>
        <v>1.0928571428571413E-6</v>
      </c>
      <c r="D43" s="62">
        <f t="shared" si="2"/>
        <v>4.7867142857142795E-6</v>
      </c>
      <c r="E43" s="82">
        <v>1.7000000000000001E-4</v>
      </c>
      <c r="F43" s="52" t="s">
        <v>245</v>
      </c>
      <c r="G43" s="301" t="s">
        <v>246</v>
      </c>
      <c r="I43" s="304"/>
      <c r="J43" s="304"/>
      <c r="K43" s="304"/>
    </row>
    <row r="44" spans="2:11" s="16" customFormat="1">
      <c r="B44" s="48" t="s">
        <v>243</v>
      </c>
      <c r="C44" s="62">
        <f t="shared" si="1"/>
        <v>7.7142857142857021E-7</v>
      </c>
      <c r="D44" s="62">
        <f t="shared" si="2"/>
        <v>3.3788571428571382E-6</v>
      </c>
      <c r="E44" s="82">
        <v>1.2E-4</v>
      </c>
      <c r="F44" s="52" t="s">
        <v>245</v>
      </c>
      <c r="G44" s="301" t="s">
        <v>246</v>
      </c>
      <c r="I44" s="304"/>
      <c r="J44" s="304"/>
      <c r="K44" s="304"/>
    </row>
    <row r="45" spans="2:11" s="16" customFormat="1">
      <c r="B45" s="48" t="s">
        <v>244</v>
      </c>
      <c r="C45" s="62">
        <f t="shared" si="1"/>
        <v>1.3612499999999981E-3</v>
      </c>
      <c r="D45" s="62">
        <f t="shared" si="2"/>
        <v>5.9622749999999917E-3</v>
      </c>
      <c r="E45" s="82">
        <v>0.21174999999999999</v>
      </c>
      <c r="F45" s="52" t="s">
        <v>245</v>
      </c>
      <c r="G45" s="301" t="s">
        <v>246</v>
      </c>
      <c r="I45" s="304"/>
      <c r="J45" s="304"/>
      <c r="K45" s="304"/>
    </row>
    <row r="46" spans="2:11" s="16" customFormat="1">
      <c r="B46" s="58"/>
      <c r="C46" s="64"/>
      <c r="D46" s="65"/>
      <c r="E46" s="50"/>
      <c r="F46" s="60"/>
      <c r="G46" s="300"/>
      <c r="I46" s="304"/>
      <c r="J46" s="304"/>
      <c r="K46" s="304"/>
    </row>
    <row r="47" spans="2:11" s="16" customFormat="1">
      <c r="B47" s="43" t="s">
        <v>44</v>
      </c>
      <c r="C47" s="44"/>
      <c r="D47" s="68"/>
      <c r="E47" s="69"/>
      <c r="F47" s="46"/>
      <c r="G47" s="300"/>
      <c r="I47" s="304"/>
      <c r="J47" s="304"/>
      <c r="K47" s="304"/>
    </row>
    <row r="48" spans="2:11" s="16" customFormat="1" ht="14.25">
      <c r="B48" s="70" t="s">
        <v>150</v>
      </c>
      <c r="C48" s="71">
        <f>D48/$C$12*2000</f>
        <v>163288.46095890016</v>
      </c>
      <c r="D48" s="72">
        <f>E48*$C$16/2000</f>
        <v>715203.4589999828</v>
      </c>
      <c r="E48" s="323">
        <f>CONVERT(274.32,"kg","lbm")</f>
        <v>604.77207762555622</v>
      </c>
      <c r="F48" s="52" t="s">
        <v>45</v>
      </c>
      <c r="G48" s="314" t="s">
        <v>282</v>
      </c>
      <c r="I48" s="304"/>
      <c r="J48" s="304"/>
      <c r="K48" s="304"/>
    </row>
    <row r="49" spans="2:11" s="16" customFormat="1" ht="14.25">
      <c r="B49" s="70" t="s">
        <v>151</v>
      </c>
      <c r="C49" s="49">
        <f>D49/$C$12*2000</f>
        <v>1.3095458373781727E-2</v>
      </c>
      <c r="D49" s="50">
        <f t="shared" ref="D49:D50" si="3">E49*$C$16/2000</f>
        <v>5.7358107677163962E-2</v>
      </c>
      <c r="E49" s="325">
        <f>CONVERT(0.000022,"kg","lbm")</f>
        <v>4.8501697680673063E-5</v>
      </c>
      <c r="F49" s="52" t="s">
        <v>45</v>
      </c>
      <c r="G49" s="314" t="s">
        <v>103</v>
      </c>
      <c r="I49" s="304"/>
      <c r="J49" s="304"/>
      <c r="K49" s="304"/>
    </row>
    <row r="50" spans="2:11" s="16" customFormat="1" ht="14.25">
      <c r="B50" s="70" t="s">
        <v>152</v>
      </c>
      <c r="C50" s="49">
        <f>D50/$C$12*2000</f>
        <v>5.9524810789916928E-2</v>
      </c>
      <c r="D50" s="50">
        <f t="shared" si="3"/>
        <v>0.26071867125983617</v>
      </c>
      <c r="E50" s="325">
        <f>CONVERT(0.0001,"kg","lbm")</f>
        <v>2.2046226218487756E-4</v>
      </c>
      <c r="F50" s="52" t="s">
        <v>45</v>
      </c>
      <c r="G50" s="314" t="s">
        <v>103</v>
      </c>
      <c r="I50" s="304"/>
      <c r="J50" s="304"/>
      <c r="K50" s="304"/>
    </row>
    <row r="51" spans="2:11" s="16" customFormat="1" ht="14.25">
      <c r="B51" s="70" t="s">
        <v>153</v>
      </c>
      <c r="C51" s="71">
        <f>D51/$C$12*2000</f>
        <v>163306.52673897494</v>
      </c>
      <c r="D51" s="73">
        <f>D48*'Key Inputs'!$C$62+D49*'Key Inputs'!$C$63+D50*'Key Inputs'!$C$64</f>
        <v>715282.58711671014</v>
      </c>
      <c r="E51" s="74" t="s">
        <v>46</v>
      </c>
      <c r="F51" s="75" t="s">
        <v>46</v>
      </c>
      <c r="G51" s="300" t="s">
        <v>47</v>
      </c>
      <c r="I51" s="304"/>
      <c r="J51" s="304"/>
      <c r="K51" s="304"/>
    </row>
    <row r="52" spans="2:11" s="16" customFormat="1" ht="6" customHeight="1" thickBot="1">
      <c r="B52" s="38"/>
      <c r="C52" s="39"/>
      <c r="D52" s="40"/>
      <c r="E52" s="41"/>
      <c r="F52" s="41"/>
      <c r="G52" s="42"/>
    </row>
    <row r="53" spans="2:11" s="18" customFormat="1" ht="6" customHeight="1">
      <c r="D53" s="27"/>
      <c r="E53" s="25"/>
      <c r="F53" s="25"/>
    </row>
    <row r="55" spans="2:11">
      <c r="E55" s="93"/>
    </row>
  </sheetData>
  <mergeCells count="2">
    <mergeCell ref="H24:S26"/>
    <mergeCell ref="H30:S32"/>
  </mergeCells>
  <pageMargins left="0.2" right="0.2" top="0.25" bottom="0.25" header="0.05" footer="0.05"/>
  <pageSetup scale="75" fitToHeight="3"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1FA66-2EC0-445F-B235-B6625F10BCFE}">
  <dimension ref="B1:K217"/>
  <sheetViews>
    <sheetView topLeftCell="A177" zoomScale="130" zoomScaleNormal="130" zoomScaleSheetLayoutView="100" workbookViewId="0">
      <selection activeCell="E198" sqref="E198"/>
    </sheetView>
  </sheetViews>
  <sheetFormatPr defaultColWidth="9.140625" defaultRowHeight="12.75"/>
  <cols>
    <col min="1" max="1" width="2.42578125" style="1" customWidth="1"/>
    <col min="2" max="2" width="39.85546875" style="1" customWidth="1"/>
    <col min="3" max="3" width="11.7109375" style="1" customWidth="1"/>
    <col min="4" max="4" width="10.140625" style="1" customWidth="1"/>
    <col min="5" max="5" width="9.85546875" style="1" customWidth="1"/>
    <col min="6" max="6" width="10.28515625" style="1" bestFit="1" customWidth="1"/>
    <col min="7" max="7" width="64.5703125" style="2" bestFit="1" customWidth="1"/>
    <col min="8" max="8" width="9.140625" style="1"/>
    <col min="9" max="11" width="9.140625" style="304"/>
    <col min="12" max="16384" width="9.140625" style="1"/>
  </cols>
  <sheetData>
    <row r="1" spans="2:11" ht="11.25" customHeight="1"/>
    <row r="2" spans="2:11" s="6" customFormat="1">
      <c r="B2" s="5" t="str">
        <f>'Key Inputs'!B2</f>
        <v>Company Name:</v>
      </c>
      <c r="C2" s="279" t="str">
        <f>'Key Inputs'!C2</f>
        <v>U. S. Steel Corp.</v>
      </c>
      <c r="F2" s="5"/>
      <c r="G2" s="7"/>
      <c r="I2" s="305"/>
      <c r="J2" s="305"/>
      <c r="K2" s="305"/>
    </row>
    <row r="3" spans="2:11" s="6" customFormat="1">
      <c r="B3" s="5" t="str">
        <f>'Key Inputs'!B3</f>
        <v>Site Name:</v>
      </c>
      <c r="C3" s="279" t="str">
        <f>'Key Inputs'!C3</f>
        <v>Edgar Thomson Plant</v>
      </c>
      <c r="F3" s="5"/>
      <c r="G3" s="7"/>
      <c r="I3" s="305"/>
      <c r="J3" s="305"/>
      <c r="K3" s="305"/>
    </row>
    <row r="4" spans="2:11" s="6" customFormat="1">
      <c r="B4" s="5" t="str">
        <f>'Key Inputs'!B4</f>
        <v>Description:</v>
      </c>
      <c r="C4" s="279" t="str">
        <f>'Key Inputs'!C4</f>
        <v>Title V Permit Renewal</v>
      </c>
      <c r="F4" s="5"/>
      <c r="G4" s="7"/>
      <c r="I4" s="305" t="s">
        <v>780</v>
      </c>
      <c r="J4" s="722" t="s">
        <v>31</v>
      </c>
      <c r="K4" s="305"/>
    </row>
    <row r="5" spans="2:11" s="6" customFormat="1">
      <c r="B5" s="5" t="str">
        <f>'Key Inputs'!B5</f>
        <v>Date:</v>
      </c>
      <c r="C5" s="281" t="str">
        <f>'Key Inputs'!C5</f>
        <v>10/7/2020 - DRAFT</v>
      </c>
      <c r="F5" s="5"/>
      <c r="G5" s="7"/>
      <c r="I5" s="305" t="s">
        <v>781</v>
      </c>
      <c r="J5" s="721">
        <f>C17+'5. BF #3 Stoves (P002b)'!C15</f>
        <v>7624.6175637393771</v>
      </c>
      <c r="K5" s="305"/>
    </row>
    <row r="6" spans="2:11" s="6" customFormat="1">
      <c r="B6" s="5"/>
      <c r="C6" s="5"/>
      <c r="D6" s="5"/>
      <c r="F6" s="5"/>
      <c r="G6" s="7"/>
      <c r="I6" s="305" t="s">
        <v>782</v>
      </c>
      <c r="J6" s="721">
        <f>C18+'5. BF #3 Stoves (P002b)'!C16+C19</f>
        <v>11322.304599940731</v>
      </c>
      <c r="K6" s="305"/>
    </row>
    <row r="7" spans="2:11" s="11" customFormat="1">
      <c r="B7" s="10" t="s">
        <v>289</v>
      </c>
      <c r="C7" s="10"/>
      <c r="D7" s="10"/>
      <c r="F7" s="10"/>
      <c r="G7" s="12"/>
      <c r="I7" s="306" t="s">
        <v>783</v>
      </c>
      <c r="J7" s="430">
        <f>'5. BF #3 Stoves (P002b)'!C17</f>
        <v>48180</v>
      </c>
      <c r="K7" s="306"/>
    </row>
    <row r="8" spans="2:11" s="16" customFormat="1">
      <c r="B8" s="14"/>
      <c r="C8" s="15"/>
      <c r="G8" s="17"/>
      <c r="I8" s="304"/>
      <c r="J8" s="304"/>
      <c r="K8" s="304"/>
    </row>
    <row r="9" spans="2:11" s="18" customFormat="1">
      <c r="B9" s="19" t="s">
        <v>25</v>
      </c>
      <c r="C9" s="20" t="s">
        <v>263</v>
      </c>
      <c r="D9" s="19"/>
      <c r="G9" s="21"/>
      <c r="I9" s="307"/>
      <c r="J9" s="307"/>
      <c r="K9" s="307"/>
    </row>
    <row r="10" spans="2:11" s="18" customFormat="1">
      <c r="B10" s="19" t="s">
        <v>56</v>
      </c>
      <c r="C10" s="23" t="s">
        <v>184</v>
      </c>
      <c r="D10" s="19"/>
      <c r="G10" s="21"/>
      <c r="I10" s="307"/>
      <c r="J10" s="307"/>
      <c r="K10" s="307"/>
    </row>
    <row r="11" spans="2:11" s="18" customFormat="1">
      <c r="B11" s="19" t="s">
        <v>291</v>
      </c>
      <c r="C11" s="23" t="s">
        <v>292</v>
      </c>
      <c r="D11" s="19"/>
      <c r="G11" s="21"/>
      <c r="I11" s="307"/>
      <c r="J11" s="307"/>
      <c r="K11" s="307"/>
    </row>
    <row r="12" spans="2:11" s="18" customFormat="1">
      <c r="B12" s="19" t="s">
        <v>26</v>
      </c>
      <c r="C12" s="24">
        <f>'Key Inputs'!$G$20</f>
        <v>8760</v>
      </c>
      <c r="D12" s="21" t="s">
        <v>10</v>
      </c>
      <c r="G12" s="20"/>
      <c r="I12" s="307"/>
      <c r="J12" s="307"/>
      <c r="K12" s="307"/>
    </row>
    <row r="13" spans="2:11" s="18" customFormat="1">
      <c r="B13" s="19" t="s">
        <v>14</v>
      </c>
      <c r="C13" s="79" t="s">
        <v>176</v>
      </c>
      <c r="D13" s="21"/>
      <c r="G13" s="20"/>
      <c r="I13" s="307"/>
      <c r="J13" s="307"/>
      <c r="K13" s="307"/>
    </row>
    <row r="14" spans="2:11" s="18" customFormat="1">
      <c r="B14" s="19" t="s">
        <v>225</v>
      </c>
      <c r="C14" s="184">
        <v>140000</v>
      </c>
      <c r="D14" s="21" t="s">
        <v>118</v>
      </c>
      <c r="G14" s="20"/>
      <c r="I14" s="307" t="s">
        <v>254</v>
      </c>
      <c r="J14" s="307"/>
      <c r="K14" s="307"/>
    </row>
    <row r="15" spans="2:11" s="18" customFormat="1">
      <c r="B15" s="19" t="s">
        <v>226</v>
      </c>
      <c r="C15" s="294">
        <v>0.01</v>
      </c>
      <c r="D15" s="21" t="s">
        <v>9</v>
      </c>
      <c r="G15" s="20"/>
      <c r="I15" s="307" t="s">
        <v>254</v>
      </c>
      <c r="J15" s="307"/>
      <c r="K15" s="307"/>
    </row>
    <row r="16" spans="2:11" s="18" customFormat="1">
      <c r="B16" s="19" t="s">
        <v>231</v>
      </c>
      <c r="C16" s="184">
        <f>'Key Inputs'!E13</f>
        <v>1752000</v>
      </c>
      <c r="D16" s="21" t="s">
        <v>6</v>
      </c>
      <c r="G16" s="20"/>
      <c r="I16" s="307" t="s">
        <v>254</v>
      </c>
      <c r="J16" s="307"/>
      <c r="K16" s="307"/>
    </row>
    <row r="17" spans="2:11" s="18" customFormat="1">
      <c r="B17" s="19" t="s">
        <v>252</v>
      </c>
      <c r="C17" s="184">
        <v>3530</v>
      </c>
      <c r="D17" s="21" t="s">
        <v>31</v>
      </c>
      <c r="G17" s="20"/>
      <c r="I17" s="307" t="s">
        <v>255</v>
      </c>
      <c r="J17" s="307"/>
      <c r="K17" s="307"/>
    </row>
    <row r="18" spans="2:11" s="18" customFormat="1">
      <c r="B18" s="19" t="s">
        <v>253</v>
      </c>
      <c r="C18" s="184">
        <v>2820</v>
      </c>
      <c r="D18" s="21" t="s">
        <v>31</v>
      </c>
      <c r="G18" s="20"/>
      <c r="I18" s="307" t="s">
        <v>255</v>
      </c>
      <c r="J18" s="307"/>
      <c r="K18" s="307"/>
    </row>
    <row r="19" spans="2:11" s="18" customFormat="1">
      <c r="B19" s="19" t="s">
        <v>577</v>
      </c>
      <c r="C19" s="184">
        <f>'1. Blast Furnace #1 (P001a)'!C19</f>
        <v>103.69913799999736</v>
      </c>
      <c r="D19" s="21" t="s">
        <v>31</v>
      </c>
      <c r="G19" s="20"/>
      <c r="I19" s="307" t="s">
        <v>578</v>
      </c>
      <c r="J19" s="307"/>
      <c r="K19" s="307"/>
    </row>
    <row r="20" spans="2:11" s="18" customFormat="1">
      <c r="B20" s="19"/>
      <c r="C20" s="184"/>
      <c r="D20" s="21"/>
      <c r="G20" s="20"/>
      <c r="I20" s="307"/>
      <c r="J20" s="307"/>
      <c r="K20" s="307"/>
    </row>
    <row r="21" spans="2:11" s="18" customFormat="1" ht="6" customHeight="1">
      <c r="D21" s="27"/>
      <c r="E21" s="25"/>
      <c r="F21" s="25"/>
      <c r="G21" s="21"/>
      <c r="I21" s="307"/>
      <c r="J21" s="307"/>
      <c r="K21" s="307"/>
    </row>
    <row r="22" spans="2:11" s="11" customFormat="1">
      <c r="B22" s="316" t="s">
        <v>248</v>
      </c>
      <c r="C22" s="316"/>
      <c r="D22" s="316"/>
      <c r="E22" s="317"/>
      <c r="F22" s="316"/>
      <c r="G22" s="318"/>
      <c r="I22" s="306"/>
      <c r="J22" s="306"/>
      <c r="K22" s="306"/>
    </row>
    <row r="23" spans="2:11" s="18" customFormat="1" ht="6" customHeight="1" thickBot="1">
      <c r="D23" s="27"/>
      <c r="E23" s="25"/>
      <c r="F23" s="25"/>
      <c r="G23" s="21"/>
      <c r="I23" s="307"/>
      <c r="J23" s="307"/>
      <c r="K23" s="307"/>
    </row>
    <row r="24" spans="2:11" s="18" customFormat="1" ht="6" customHeight="1">
      <c r="B24" s="28"/>
      <c r="C24" s="29"/>
      <c r="D24" s="30"/>
      <c r="E24" s="31"/>
      <c r="F24" s="31"/>
      <c r="G24" s="298"/>
      <c r="I24" s="307"/>
      <c r="J24" s="307"/>
      <c r="K24" s="307"/>
    </row>
    <row r="25" spans="2:11" s="37" customFormat="1" ht="38.25">
      <c r="B25" s="33" t="s">
        <v>32</v>
      </c>
      <c r="C25" s="34" t="s">
        <v>140</v>
      </c>
      <c r="D25" s="34" t="s">
        <v>141</v>
      </c>
      <c r="E25" s="34" t="s">
        <v>139</v>
      </c>
      <c r="F25" s="34" t="s">
        <v>35</v>
      </c>
      <c r="G25" s="35" t="s">
        <v>36</v>
      </c>
      <c r="I25" s="787" t="s">
        <v>232</v>
      </c>
      <c r="J25" s="787"/>
      <c r="K25" s="787"/>
    </row>
    <row r="26" spans="2:11" s="18" customFormat="1" ht="6" customHeight="1" thickBot="1">
      <c r="B26" s="38"/>
      <c r="C26" s="39"/>
      <c r="D26" s="40"/>
      <c r="E26" s="41"/>
      <c r="F26" s="41"/>
      <c r="G26" s="299"/>
      <c r="I26" s="307"/>
      <c r="J26" s="307"/>
      <c r="K26" s="307"/>
    </row>
    <row r="27" spans="2:11" s="18" customFormat="1" ht="6" customHeight="1">
      <c r="B27" s="28"/>
      <c r="C27" s="29"/>
      <c r="D27" s="30"/>
      <c r="E27" s="31"/>
      <c r="F27" s="31"/>
      <c r="G27" s="298"/>
      <c r="I27" s="307"/>
      <c r="J27" s="307"/>
      <c r="K27" s="307"/>
    </row>
    <row r="28" spans="2:11" s="16" customFormat="1">
      <c r="B28" s="43" t="s">
        <v>37</v>
      </c>
      <c r="C28" s="44"/>
      <c r="D28" s="45"/>
      <c r="E28" s="46"/>
      <c r="F28" s="46"/>
      <c r="G28" s="300"/>
      <c r="I28" s="309">
        <v>2018</v>
      </c>
      <c r="J28" s="309">
        <v>2016</v>
      </c>
      <c r="K28" s="309">
        <v>2014</v>
      </c>
    </row>
    <row r="29" spans="2:11" s="160" customFormat="1" ht="15" customHeight="1">
      <c r="B29" s="48" t="s">
        <v>228</v>
      </c>
      <c r="C29" s="49">
        <v>40</v>
      </c>
      <c r="D29" s="50">
        <v>175</v>
      </c>
      <c r="E29" s="577" t="s">
        <v>21</v>
      </c>
      <c r="F29" s="578" t="s">
        <v>21</v>
      </c>
      <c r="G29" s="301" t="s">
        <v>650</v>
      </c>
      <c r="I29" s="310"/>
      <c r="J29" s="310"/>
      <c r="K29" s="310"/>
    </row>
    <row r="30" spans="2:11" s="160" customFormat="1" ht="15" customHeight="1">
      <c r="B30" s="48" t="s">
        <v>229</v>
      </c>
      <c r="C30" s="49">
        <v>40</v>
      </c>
      <c r="D30" s="50">
        <v>175</v>
      </c>
      <c r="E30" s="577" t="s">
        <v>21</v>
      </c>
      <c r="F30" s="578" t="s">
        <v>21</v>
      </c>
      <c r="G30" s="301" t="s">
        <v>650</v>
      </c>
      <c r="I30" s="310"/>
      <c r="J30" s="310"/>
      <c r="K30" s="310"/>
    </row>
    <row r="31" spans="2:11" s="160" customFormat="1" ht="15" customHeight="1">
      <c r="B31" s="48" t="s">
        <v>230</v>
      </c>
      <c r="C31" s="49">
        <v>40</v>
      </c>
      <c r="D31" s="50">
        <v>175</v>
      </c>
      <c r="E31" s="577" t="s">
        <v>21</v>
      </c>
      <c r="F31" s="578" t="s">
        <v>21</v>
      </c>
      <c r="G31" s="301" t="s">
        <v>650</v>
      </c>
      <c r="I31" s="310"/>
      <c r="J31" s="310"/>
      <c r="K31" s="310"/>
    </row>
    <row r="32" spans="2:11" s="160" customFormat="1" ht="15" customHeight="1">
      <c r="B32" s="48" t="s">
        <v>227</v>
      </c>
      <c r="C32" s="49">
        <f t="shared" ref="C32" si="0">D32*2000/$C$12</f>
        <v>1.8373065662902548</v>
      </c>
      <c r="D32" s="50">
        <f t="shared" ref="D32" si="1">E32*$C$16/2000</f>
        <v>8.0474027603513161</v>
      </c>
      <c r="E32" s="577">
        <f>MAX('EF Dev Tests'!G33:G34)*1.15</f>
        <v>9.1865328314512749E-3</v>
      </c>
      <c r="F32" s="578" t="s">
        <v>96</v>
      </c>
      <c r="G32" s="301" t="s">
        <v>651</v>
      </c>
      <c r="I32" s="310"/>
      <c r="J32" s="310"/>
      <c r="K32" s="310"/>
    </row>
    <row r="33" spans="2:11" s="160" customFormat="1" ht="15" customHeight="1">
      <c r="B33" s="48" t="s">
        <v>148</v>
      </c>
      <c r="C33" s="49">
        <f t="shared" ref="C33:C34" si="2">D33*2000/$C$12</f>
        <v>0.87536595566708486</v>
      </c>
      <c r="D33" s="50">
        <f t="shared" ref="D33:D34" si="3">E33*$C$16/2000</f>
        <v>3.834102885821832</v>
      </c>
      <c r="E33" s="577">
        <f>MAX('EF Dev Tests'!E33:E34)*1.15</f>
        <v>4.3768297783354244E-3</v>
      </c>
      <c r="F33" s="578" t="s">
        <v>96</v>
      </c>
      <c r="G33" s="301" t="s">
        <v>651</v>
      </c>
      <c r="I33" s="310"/>
      <c r="J33" s="310"/>
      <c r="K33" s="310"/>
    </row>
    <row r="34" spans="2:11" s="160" customFormat="1" ht="15" customHeight="1">
      <c r="B34" s="48" t="s">
        <v>40</v>
      </c>
      <c r="C34" s="49">
        <f t="shared" si="2"/>
        <v>177.63195315767459</v>
      </c>
      <c r="D34" s="50">
        <f t="shared" si="3"/>
        <v>778.0279548306147</v>
      </c>
      <c r="E34" s="577">
        <f>MAX('EF Dev Tests'!I33:I34)*1.15</f>
        <v>0.88815976578837297</v>
      </c>
      <c r="F34" s="578" t="s">
        <v>96</v>
      </c>
      <c r="G34" s="301" t="s">
        <v>651</v>
      </c>
      <c r="I34" s="310"/>
      <c r="J34" s="310"/>
      <c r="K34" s="310"/>
    </row>
    <row r="35" spans="2:11" s="160" customFormat="1" ht="15" customHeight="1">
      <c r="B35" s="48" t="s">
        <v>149</v>
      </c>
      <c r="C35" s="49">
        <v>45.1</v>
      </c>
      <c r="D35" s="50">
        <f>C35*C12/2000</f>
        <v>197.53800000000001</v>
      </c>
      <c r="E35" s="577" t="s">
        <v>21</v>
      </c>
      <c r="F35" s="578" t="s">
        <v>21</v>
      </c>
      <c r="G35" s="301" t="s">
        <v>749</v>
      </c>
      <c r="I35" s="310">
        <v>0.16</v>
      </c>
      <c r="J35" s="310">
        <v>7.1999999999999995E-2</v>
      </c>
      <c r="K35" s="310">
        <v>0.11799999999999999</v>
      </c>
    </row>
    <row r="36" spans="2:11" s="160" customFormat="1" ht="15" customHeight="1">
      <c r="B36" s="48" t="s">
        <v>65</v>
      </c>
      <c r="C36" s="49">
        <f t="shared" ref="C36" si="4">D36*2000/$C$12</f>
        <v>3.3684827182190977</v>
      </c>
      <c r="D36" s="50">
        <f t="shared" ref="D36" si="5">E36*$C$16/2000</f>
        <v>14.753954305799649</v>
      </c>
      <c r="E36" s="163">
        <f>MAX('EF Dev Tests'!K33:K34)*1.15</f>
        <v>1.6842413591095489E-2</v>
      </c>
      <c r="F36" s="52" t="s">
        <v>96</v>
      </c>
      <c r="G36" s="302" t="s">
        <v>651</v>
      </c>
      <c r="I36" s="310"/>
      <c r="J36" s="310"/>
      <c r="K36" s="310"/>
    </row>
    <row r="37" spans="2:11" s="160" customFormat="1" ht="15" customHeight="1">
      <c r="B37" s="48" t="s">
        <v>267</v>
      </c>
      <c r="C37" s="49">
        <f t="shared" ref="C37" si="6">D37*2000/$C$12</f>
        <v>0.46365537432036796</v>
      </c>
      <c r="D37" s="50">
        <f t="shared" ref="D37" si="7">E37*$C$16/2000</f>
        <v>2.0308105395232117</v>
      </c>
      <c r="E37" s="163">
        <f>MAX('EF Dev Tests'!C33:C34)*1.15</f>
        <v>2.3182768716018399E-3</v>
      </c>
      <c r="F37" s="52" t="s">
        <v>96</v>
      </c>
      <c r="G37" s="302" t="s">
        <v>651</v>
      </c>
      <c r="I37" s="310"/>
      <c r="J37" s="310"/>
      <c r="K37" s="310"/>
    </row>
    <row r="38" spans="2:11" s="16" customFormat="1" ht="6.75" customHeight="1">
      <c r="B38" s="48"/>
      <c r="C38" s="49"/>
      <c r="D38" s="50"/>
      <c r="E38" s="80"/>
      <c r="F38" s="52"/>
      <c r="G38" s="301"/>
      <c r="I38" s="304"/>
      <c r="J38" s="304"/>
      <c r="K38" s="304"/>
    </row>
    <row r="39" spans="2:11" s="16" customFormat="1">
      <c r="B39" s="43" t="s">
        <v>41</v>
      </c>
      <c r="C39" s="49"/>
      <c r="D39" s="50"/>
      <c r="E39" s="80"/>
      <c r="F39" s="52"/>
      <c r="G39" s="301"/>
      <c r="I39" s="304"/>
      <c r="J39" s="304"/>
      <c r="K39" s="304"/>
    </row>
    <row r="40" spans="2:11" s="16" customFormat="1">
      <c r="B40" s="58" t="s">
        <v>86</v>
      </c>
      <c r="C40" s="49"/>
      <c r="D40" s="50"/>
      <c r="E40" s="80"/>
      <c r="F40" s="52"/>
      <c r="G40" s="301"/>
      <c r="I40" s="304"/>
      <c r="J40" s="304"/>
      <c r="K40" s="304"/>
    </row>
    <row r="41" spans="2:11" s="16" customFormat="1">
      <c r="B41" s="48" t="s">
        <v>234</v>
      </c>
      <c r="C41" s="62">
        <f>$C$29*E41%</f>
        <v>4.9167200000000007E-4</v>
      </c>
      <c r="D41" s="62">
        <f>$D$29*E41%</f>
        <v>2.1510650000000002E-3</v>
      </c>
      <c r="E41" s="82">
        <v>1.2291800000000001E-3</v>
      </c>
      <c r="F41" s="52" t="s">
        <v>245</v>
      </c>
      <c r="G41" s="301" t="s">
        <v>246</v>
      </c>
      <c r="I41" s="304"/>
      <c r="J41" s="304"/>
      <c r="K41" s="304"/>
    </row>
    <row r="42" spans="2:11" s="16" customFormat="1">
      <c r="B42" s="48" t="s">
        <v>235</v>
      </c>
      <c r="C42" s="62">
        <f t="shared" ref="C42:C52" si="8">$C$29*E42%</f>
        <v>4.8561899999999986E-5</v>
      </c>
      <c r="D42" s="62">
        <f t="shared" ref="D42:D52" si="9">$D$29*E42%</f>
        <v>2.1245831249999995E-4</v>
      </c>
      <c r="E42" s="82">
        <v>1.2140474999999998E-4</v>
      </c>
      <c r="F42" s="52" t="s">
        <v>245</v>
      </c>
      <c r="G42" s="301" t="s">
        <v>246</v>
      </c>
      <c r="I42" s="304"/>
      <c r="J42" s="304"/>
      <c r="K42" s="304"/>
    </row>
    <row r="43" spans="2:11" s="16" customFormat="1">
      <c r="B43" s="48" t="s">
        <v>236</v>
      </c>
      <c r="C43" s="62">
        <f t="shared" si="8"/>
        <v>5.007449999999999E-5</v>
      </c>
      <c r="D43" s="62">
        <f t="shared" si="9"/>
        <v>2.1907593749999997E-4</v>
      </c>
      <c r="E43" s="82">
        <v>1.2518624999999998E-4</v>
      </c>
      <c r="F43" s="52" t="s">
        <v>245</v>
      </c>
      <c r="G43" s="301" t="s">
        <v>246</v>
      </c>
      <c r="I43" s="304"/>
      <c r="J43" s="304"/>
      <c r="K43" s="304"/>
    </row>
    <row r="44" spans="2:11" s="16" customFormat="1">
      <c r="B44" s="48" t="s">
        <v>237</v>
      </c>
      <c r="C44" s="62">
        <f t="shared" si="8"/>
        <v>1.8347620000000003E-4</v>
      </c>
      <c r="D44" s="62">
        <f t="shared" si="9"/>
        <v>8.0270837500000009E-4</v>
      </c>
      <c r="E44" s="82">
        <v>4.5869050000000005E-4</v>
      </c>
      <c r="F44" s="52" t="s">
        <v>245</v>
      </c>
      <c r="G44" s="301" t="s">
        <v>246</v>
      </c>
      <c r="I44" s="304"/>
      <c r="J44" s="304"/>
      <c r="K44" s="304"/>
    </row>
    <row r="45" spans="2:11" s="16" customFormat="1">
      <c r="B45" s="48" t="s">
        <v>238</v>
      </c>
      <c r="C45" s="62">
        <f t="shared" si="8"/>
        <v>5.3686800000000007E-3</v>
      </c>
      <c r="D45" s="62">
        <f t="shared" si="9"/>
        <v>2.3487975000000001E-2</v>
      </c>
      <c r="E45" s="82">
        <v>1.3421700000000002E-2</v>
      </c>
      <c r="F45" s="52" t="s">
        <v>245</v>
      </c>
      <c r="G45" s="301" t="s">
        <v>246</v>
      </c>
      <c r="I45" s="304"/>
      <c r="J45" s="304"/>
      <c r="K45" s="304"/>
    </row>
    <row r="46" spans="2:11" s="16" customFormat="1">
      <c r="B46" s="48" t="s">
        <v>239</v>
      </c>
      <c r="C46" s="62">
        <f t="shared" si="8"/>
        <v>2.6254200000000005E-4</v>
      </c>
      <c r="D46" s="62">
        <f t="shared" si="9"/>
        <v>1.1486212500000001E-3</v>
      </c>
      <c r="E46" s="82">
        <v>6.5635500000000007E-4</v>
      </c>
      <c r="F46" s="52" t="s">
        <v>245</v>
      </c>
      <c r="G46" s="301" t="s">
        <v>246</v>
      </c>
      <c r="I46" s="304"/>
      <c r="J46" s="304"/>
      <c r="K46" s="304"/>
    </row>
    <row r="47" spans="2:11" s="16" customFormat="1">
      <c r="B47" s="48" t="s">
        <v>91</v>
      </c>
      <c r="C47" s="62">
        <f t="shared" si="8"/>
        <v>2.3317860000000006E-3</v>
      </c>
      <c r="D47" s="62">
        <f t="shared" si="9"/>
        <v>1.0201563750000002E-2</v>
      </c>
      <c r="E47" s="82">
        <v>5.8294650000000016E-3</v>
      </c>
      <c r="F47" s="52" t="s">
        <v>245</v>
      </c>
      <c r="G47" s="301" t="s">
        <v>246</v>
      </c>
      <c r="I47" s="304"/>
      <c r="J47" s="304"/>
      <c r="K47" s="304"/>
    </row>
    <row r="48" spans="2:11" s="16" customFormat="1">
      <c r="B48" s="48" t="s">
        <v>240</v>
      </c>
      <c r="C48" s="62">
        <f t="shared" si="8"/>
        <v>0.35781260000000004</v>
      </c>
      <c r="D48" s="62">
        <f t="shared" si="9"/>
        <v>1.565430125</v>
      </c>
      <c r="E48" s="82">
        <v>0.89453150000000003</v>
      </c>
      <c r="F48" s="52" t="s">
        <v>245</v>
      </c>
      <c r="G48" s="301" t="s">
        <v>246</v>
      </c>
      <c r="I48" s="304"/>
      <c r="J48" s="304"/>
      <c r="K48" s="304"/>
    </row>
    <row r="49" spans="2:11" s="16" customFormat="1">
      <c r="B49" s="48" t="s">
        <v>241</v>
      </c>
      <c r="C49" s="62">
        <f t="shared" si="8"/>
        <v>1.1746160000000002E-6</v>
      </c>
      <c r="D49" s="62">
        <f t="shared" si="9"/>
        <v>5.1389450000000007E-6</v>
      </c>
      <c r="E49" s="82">
        <v>2.9365400000000004E-6</v>
      </c>
      <c r="F49" s="52" t="s">
        <v>245</v>
      </c>
      <c r="G49" s="301" t="s">
        <v>246</v>
      </c>
      <c r="I49" s="304"/>
      <c r="J49" s="304"/>
      <c r="K49" s="304"/>
    </row>
    <row r="50" spans="2:11" s="16" customFormat="1">
      <c r="B50" s="48" t="s">
        <v>242</v>
      </c>
      <c r="C50" s="62">
        <f t="shared" si="8"/>
        <v>4.4565179999999998E-4</v>
      </c>
      <c r="D50" s="62">
        <f t="shared" si="9"/>
        <v>1.9497266249999998E-3</v>
      </c>
      <c r="E50" s="82">
        <v>1.1141294999999999E-3</v>
      </c>
      <c r="F50" s="52" t="s">
        <v>245</v>
      </c>
      <c r="G50" s="301" t="s">
        <v>246</v>
      </c>
      <c r="I50" s="304"/>
      <c r="J50" s="304"/>
      <c r="K50" s="304"/>
    </row>
    <row r="51" spans="2:11" s="16" customFormat="1">
      <c r="B51" s="48" t="s">
        <v>243</v>
      </c>
      <c r="C51" s="62">
        <f t="shared" si="8"/>
        <v>3.1143460000000005E-3</v>
      </c>
      <c r="D51" s="62">
        <f t="shared" si="9"/>
        <v>1.3625263750000003E-2</v>
      </c>
      <c r="E51" s="82">
        <v>7.7858650000000012E-3</v>
      </c>
      <c r="F51" s="52" t="s">
        <v>245</v>
      </c>
      <c r="G51" s="301" t="s">
        <v>246</v>
      </c>
      <c r="I51" s="304"/>
      <c r="J51" s="304"/>
      <c r="K51" s="304"/>
    </row>
    <row r="52" spans="2:11" s="16" customFormat="1">
      <c r="B52" s="48" t="s">
        <v>244</v>
      </c>
      <c r="C52" s="62">
        <f t="shared" si="8"/>
        <v>0.152</v>
      </c>
      <c r="D52" s="62">
        <f t="shared" si="9"/>
        <v>0.66500000000000004</v>
      </c>
      <c r="E52" s="82">
        <v>0.38</v>
      </c>
      <c r="F52" s="52" t="s">
        <v>245</v>
      </c>
      <c r="G52" s="301" t="s">
        <v>246</v>
      </c>
      <c r="I52" s="304"/>
      <c r="J52" s="304"/>
      <c r="K52" s="304"/>
    </row>
    <row r="53" spans="2:11" ht="6" customHeight="1" thickBot="1">
      <c r="B53" s="83"/>
      <c r="C53" s="84"/>
      <c r="D53" s="84"/>
      <c r="E53" s="84"/>
      <c r="F53" s="84"/>
      <c r="G53" s="303"/>
    </row>
    <row r="54" spans="2:11" ht="6" customHeight="1">
      <c r="B54" s="311"/>
      <c r="C54" s="311"/>
      <c r="D54" s="311"/>
      <c r="E54" s="311"/>
      <c r="F54" s="311"/>
      <c r="G54" s="312"/>
    </row>
    <row r="55" spans="2:11" s="11" customFormat="1">
      <c r="B55" s="316" t="s">
        <v>247</v>
      </c>
      <c r="C55" s="316"/>
      <c r="D55" s="316"/>
      <c r="E55" s="317"/>
      <c r="F55" s="316"/>
      <c r="G55" s="318"/>
      <c r="I55" s="306"/>
      <c r="J55" s="306"/>
      <c r="K55" s="306"/>
    </row>
    <row r="56" spans="2:11" s="18" customFormat="1" ht="6" customHeight="1" thickBot="1">
      <c r="D56" s="27"/>
      <c r="E56" s="25"/>
      <c r="F56" s="25"/>
      <c r="G56" s="21"/>
      <c r="I56" s="307"/>
      <c r="J56" s="307"/>
      <c r="K56" s="307"/>
    </row>
    <row r="57" spans="2:11" s="18" customFormat="1" ht="6" customHeight="1">
      <c r="B57" s="28"/>
      <c r="C57" s="29"/>
      <c r="D57" s="30"/>
      <c r="E57" s="31"/>
      <c r="F57" s="31"/>
      <c r="G57" s="298"/>
      <c r="I57" s="307"/>
      <c r="J57" s="307"/>
      <c r="K57" s="307"/>
    </row>
    <row r="58" spans="2:11" s="37" customFormat="1" ht="38.25">
      <c r="B58" s="33" t="s">
        <v>32</v>
      </c>
      <c r="C58" s="34" t="s">
        <v>140</v>
      </c>
      <c r="D58" s="34" t="s">
        <v>141</v>
      </c>
      <c r="E58" s="34" t="s">
        <v>139</v>
      </c>
      <c r="F58" s="34" t="s">
        <v>35</v>
      </c>
      <c r="G58" s="35" t="s">
        <v>36</v>
      </c>
      <c r="I58" s="787"/>
      <c r="J58" s="787"/>
      <c r="K58" s="787"/>
    </row>
    <row r="59" spans="2:11" s="18" customFormat="1" ht="6" customHeight="1" thickBot="1">
      <c r="B59" s="38"/>
      <c r="C59" s="39"/>
      <c r="D59" s="40"/>
      <c r="E59" s="41"/>
      <c r="F59" s="41"/>
      <c r="G59" s="299"/>
      <c r="I59" s="307"/>
      <c r="J59" s="307"/>
      <c r="K59" s="307"/>
    </row>
    <row r="60" spans="2:11" s="18" customFormat="1" ht="6" customHeight="1">
      <c r="B60" s="28"/>
      <c r="C60" s="29"/>
      <c r="D60" s="30"/>
      <c r="E60" s="31"/>
      <c r="F60" s="31"/>
      <c r="G60" s="298"/>
      <c r="I60" s="307"/>
      <c r="J60" s="307"/>
      <c r="K60" s="307"/>
    </row>
    <row r="61" spans="2:11" s="16" customFormat="1">
      <c r="B61" s="43" t="s">
        <v>37</v>
      </c>
      <c r="C61" s="44"/>
      <c r="D61" s="45"/>
      <c r="E61" s="46"/>
      <c r="F61" s="46"/>
      <c r="G61" s="300"/>
      <c r="I61" s="309"/>
      <c r="J61" s="309"/>
      <c r="K61" s="309"/>
    </row>
    <row r="62" spans="2:11" s="160" customFormat="1" ht="15" customHeight="1">
      <c r="B62" s="48" t="s">
        <v>228</v>
      </c>
      <c r="C62" s="49">
        <f>D62*2000/$C$12</f>
        <v>4.4393708777270415</v>
      </c>
      <c r="D62" s="50">
        <f>D29/90%*10%</f>
        <v>19.444444444444443</v>
      </c>
      <c r="E62" s="577" t="s">
        <v>21</v>
      </c>
      <c r="F62" s="577" t="s">
        <v>21</v>
      </c>
      <c r="G62" s="302" t="s">
        <v>652</v>
      </c>
      <c r="I62" s="310"/>
      <c r="J62" s="310"/>
      <c r="K62" s="310"/>
    </row>
    <row r="63" spans="2:11" s="160" customFormat="1" ht="15" customHeight="1">
      <c r="B63" s="48" t="s">
        <v>229</v>
      </c>
      <c r="C63" s="49">
        <f t="shared" ref="C63:C70" si="10">D63*2000/$C$12</f>
        <v>4.4393708777270415</v>
      </c>
      <c r="D63" s="50">
        <f t="shared" ref="D63:D70" si="11">D30/90%*10%</f>
        <v>19.444444444444443</v>
      </c>
      <c r="E63" s="577" t="s">
        <v>21</v>
      </c>
      <c r="F63" s="577" t="s">
        <v>21</v>
      </c>
      <c r="G63" s="302" t="s">
        <v>652</v>
      </c>
      <c r="I63" s="310"/>
      <c r="J63" s="310"/>
      <c r="K63" s="310"/>
    </row>
    <row r="64" spans="2:11" s="160" customFormat="1" ht="15" customHeight="1">
      <c r="B64" s="48" t="s">
        <v>230</v>
      </c>
      <c r="C64" s="49">
        <f t="shared" si="10"/>
        <v>4.4393708777270415</v>
      </c>
      <c r="D64" s="50">
        <f t="shared" si="11"/>
        <v>19.444444444444443</v>
      </c>
      <c r="E64" s="577" t="s">
        <v>21</v>
      </c>
      <c r="F64" s="577" t="s">
        <v>21</v>
      </c>
      <c r="G64" s="302" t="s">
        <v>652</v>
      </c>
      <c r="I64" s="310"/>
      <c r="J64" s="310"/>
      <c r="K64" s="310"/>
    </row>
    <row r="65" spans="2:11" s="160" customFormat="1" ht="15" customHeight="1">
      <c r="B65" s="48" t="s">
        <v>227</v>
      </c>
      <c r="C65" s="49">
        <f t="shared" si="10"/>
        <v>0.20414517403225055</v>
      </c>
      <c r="D65" s="50">
        <f t="shared" si="11"/>
        <v>0.89415586226125743</v>
      </c>
      <c r="E65" s="577" t="s">
        <v>21</v>
      </c>
      <c r="F65" s="577" t="s">
        <v>21</v>
      </c>
      <c r="G65" s="302" t="s">
        <v>652</v>
      </c>
      <c r="I65" s="310"/>
      <c r="J65" s="310"/>
      <c r="K65" s="310"/>
    </row>
    <row r="66" spans="2:11" s="160" customFormat="1" ht="15" customHeight="1">
      <c r="B66" s="48" t="s">
        <v>148</v>
      </c>
      <c r="C66" s="49">
        <f t="shared" si="10"/>
        <v>9.7262883963009431E-2</v>
      </c>
      <c r="D66" s="50">
        <f t="shared" si="11"/>
        <v>0.42601143175798128</v>
      </c>
      <c r="E66" s="577" t="s">
        <v>21</v>
      </c>
      <c r="F66" s="577" t="s">
        <v>21</v>
      </c>
      <c r="G66" s="302" t="s">
        <v>652</v>
      </c>
      <c r="I66" s="310"/>
      <c r="J66" s="310"/>
      <c r="K66" s="310"/>
    </row>
    <row r="67" spans="2:11" s="160" customFormat="1" ht="15" customHeight="1">
      <c r="B67" s="48" t="s">
        <v>40</v>
      </c>
      <c r="C67" s="49">
        <f t="shared" si="10"/>
        <v>19.736883684186068</v>
      </c>
      <c r="D67" s="50">
        <f t="shared" si="11"/>
        <v>86.44755053673498</v>
      </c>
      <c r="E67" s="577" t="s">
        <v>21</v>
      </c>
      <c r="F67" s="577" t="s">
        <v>21</v>
      </c>
      <c r="G67" s="302" t="s">
        <v>652</v>
      </c>
      <c r="I67" s="310"/>
      <c r="J67" s="310"/>
      <c r="K67" s="310"/>
    </row>
    <row r="68" spans="2:11" s="160" customFormat="1" ht="15" customHeight="1">
      <c r="B68" s="48" t="s">
        <v>149</v>
      </c>
      <c r="C68" s="49">
        <v>5.25</v>
      </c>
      <c r="D68" s="50">
        <f>C68*C12/2000</f>
        <v>22.995000000000001</v>
      </c>
      <c r="E68" s="577" t="s">
        <v>21</v>
      </c>
      <c r="F68" s="577" t="s">
        <v>21</v>
      </c>
      <c r="G68" s="301" t="s">
        <v>749</v>
      </c>
      <c r="I68" s="310"/>
      <c r="J68" s="310"/>
      <c r="K68" s="310"/>
    </row>
    <row r="69" spans="2:11" s="160" customFormat="1" ht="15" customHeight="1">
      <c r="B69" s="48" t="s">
        <v>65</v>
      </c>
      <c r="C69" s="49">
        <f t="shared" si="10"/>
        <v>0.37427585757989973</v>
      </c>
      <c r="D69" s="50">
        <f t="shared" si="11"/>
        <v>1.6393282561999609</v>
      </c>
      <c r="E69" s="577" t="s">
        <v>21</v>
      </c>
      <c r="F69" s="577" t="s">
        <v>21</v>
      </c>
      <c r="G69" s="302" t="s">
        <v>652</v>
      </c>
      <c r="I69" s="310"/>
      <c r="J69" s="310"/>
      <c r="K69" s="310"/>
    </row>
    <row r="70" spans="2:11" s="160" customFormat="1" ht="15" customHeight="1">
      <c r="B70" s="48" t="s">
        <v>267</v>
      </c>
      <c r="C70" s="49">
        <f t="shared" si="10"/>
        <v>5.151726381337423E-2</v>
      </c>
      <c r="D70" s="50">
        <f t="shared" si="11"/>
        <v>0.22564561550257911</v>
      </c>
      <c r="E70" s="577" t="s">
        <v>21</v>
      </c>
      <c r="F70" s="577" t="s">
        <v>21</v>
      </c>
      <c r="G70" s="302" t="s">
        <v>652</v>
      </c>
      <c r="I70" s="310"/>
      <c r="J70" s="310"/>
      <c r="K70" s="310"/>
    </row>
    <row r="71" spans="2:11" s="16" customFormat="1" ht="6.75" customHeight="1">
      <c r="B71" s="48"/>
      <c r="C71" s="49"/>
      <c r="D71" s="50"/>
      <c r="E71" s="80"/>
      <c r="F71" s="52"/>
      <c r="G71" s="301"/>
      <c r="I71" s="304"/>
      <c r="J71" s="304"/>
      <c r="K71" s="304"/>
    </row>
    <row r="72" spans="2:11" s="16" customFormat="1">
      <c r="B72" s="43" t="s">
        <v>41</v>
      </c>
      <c r="C72" s="49"/>
      <c r="D72" s="50"/>
      <c r="E72" s="80"/>
      <c r="F72" s="52"/>
      <c r="G72" s="301"/>
      <c r="I72" s="304"/>
      <c r="J72" s="304"/>
      <c r="K72" s="304"/>
    </row>
    <row r="73" spans="2:11" s="16" customFormat="1">
      <c r="B73" s="58" t="s">
        <v>86</v>
      </c>
      <c r="C73" s="49"/>
      <c r="D73" s="50"/>
      <c r="E73" s="80"/>
      <c r="F73" s="52"/>
      <c r="G73" s="301"/>
      <c r="I73" s="304"/>
      <c r="J73" s="304"/>
      <c r="K73" s="304"/>
    </row>
    <row r="74" spans="2:11" s="16" customFormat="1">
      <c r="B74" s="48" t="s">
        <v>234</v>
      </c>
      <c r="C74" s="62">
        <f>$C$62*E74%</f>
        <v>5.4567858954845254E-5</v>
      </c>
      <c r="D74" s="62">
        <f>$D$62*E74%</f>
        <v>2.3900722222222224E-4</v>
      </c>
      <c r="E74" s="82">
        <v>1.2291800000000001E-3</v>
      </c>
      <c r="F74" s="52" t="s">
        <v>245</v>
      </c>
      <c r="G74" s="301" t="s">
        <v>246</v>
      </c>
      <c r="I74" s="304"/>
      <c r="J74" s="304"/>
      <c r="K74" s="304"/>
    </row>
    <row r="75" spans="2:11" s="16" customFormat="1">
      <c r="B75" s="48" t="s">
        <v>235</v>
      </c>
      <c r="C75" s="62">
        <f t="shared" ref="C75:C85" si="12">$C$62*E75%</f>
        <v>5.3896071156773186E-6</v>
      </c>
      <c r="D75" s="62">
        <f t="shared" ref="D75:D85" si="13">$D$62*E75%</f>
        <v>2.3606479166666659E-5</v>
      </c>
      <c r="E75" s="82">
        <v>1.2140474999999998E-4</v>
      </c>
      <c r="F75" s="52" t="s">
        <v>245</v>
      </c>
      <c r="G75" s="301" t="s">
        <v>246</v>
      </c>
      <c r="I75" s="304"/>
      <c r="J75" s="304"/>
      <c r="K75" s="304"/>
    </row>
    <row r="76" spans="2:11" s="16" customFormat="1">
      <c r="B76" s="48" t="s">
        <v>236</v>
      </c>
      <c r="C76" s="62">
        <f t="shared" si="12"/>
        <v>5.5574819254185674E-6</v>
      </c>
      <c r="D76" s="62">
        <f t="shared" si="13"/>
        <v>2.4341770833333327E-5</v>
      </c>
      <c r="E76" s="82">
        <v>1.2518624999999998E-4</v>
      </c>
      <c r="F76" s="52" t="s">
        <v>245</v>
      </c>
      <c r="G76" s="301" t="s">
        <v>246</v>
      </c>
      <c r="I76" s="304"/>
      <c r="J76" s="304"/>
      <c r="K76" s="304"/>
    </row>
    <row r="77" spans="2:11" s="16" customFormat="1">
      <c r="B77" s="48" t="s">
        <v>237</v>
      </c>
      <c r="C77" s="62">
        <f t="shared" si="12"/>
        <v>2.0362972475900557E-5</v>
      </c>
      <c r="D77" s="62">
        <f t="shared" si="13"/>
        <v>8.9189819444444445E-5</v>
      </c>
      <c r="E77" s="82">
        <v>4.5869050000000005E-4</v>
      </c>
      <c r="F77" s="52" t="s">
        <v>245</v>
      </c>
      <c r="G77" s="301" t="s">
        <v>246</v>
      </c>
      <c r="I77" s="304"/>
      <c r="J77" s="304"/>
      <c r="K77" s="304"/>
    </row>
    <row r="78" spans="2:11" s="16" customFormat="1">
      <c r="B78" s="48" t="s">
        <v>238</v>
      </c>
      <c r="C78" s="62">
        <f t="shared" si="12"/>
        <v>5.9583904109589039E-4</v>
      </c>
      <c r="D78" s="62">
        <f t="shared" si="13"/>
        <v>2.6097749999999999E-3</v>
      </c>
      <c r="E78" s="82">
        <v>1.3421700000000002E-2</v>
      </c>
      <c r="F78" s="52" t="s">
        <v>245</v>
      </c>
      <c r="G78" s="301" t="s">
        <v>246</v>
      </c>
      <c r="I78" s="304"/>
      <c r="J78" s="304"/>
      <c r="K78" s="304"/>
    </row>
    <row r="79" spans="2:11" s="16" customFormat="1">
      <c r="B79" s="48" t="s">
        <v>239</v>
      </c>
      <c r="C79" s="62">
        <f t="shared" si="12"/>
        <v>2.9138032724505327E-5</v>
      </c>
      <c r="D79" s="62">
        <f t="shared" si="13"/>
        <v>1.2762458333333333E-4</v>
      </c>
      <c r="E79" s="82">
        <v>6.5635500000000007E-4</v>
      </c>
      <c r="F79" s="52" t="s">
        <v>245</v>
      </c>
      <c r="G79" s="301" t="s">
        <v>246</v>
      </c>
      <c r="I79" s="304"/>
      <c r="J79" s="304"/>
      <c r="K79" s="304"/>
    </row>
    <row r="80" spans="2:11" s="16" customFormat="1">
      <c r="B80" s="48" t="s">
        <v>91</v>
      </c>
      <c r="C80" s="62">
        <f t="shared" si="12"/>
        <v>2.5879157153729072E-4</v>
      </c>
      <c r="D80" s="62">
        <f t="shared" si="13"/>
        <v>1.1335070833333335E-3</v>
      </c>
      <c r="E80" s="82">
        <v>5.8294650000000016E-3</v>
      </c>
      <c r="F80" s="52" t="s">
        <v>245</v>
      </c>
      <c r="G80" s="301" t="s">
        <v>246</v>
      </c>
      <c r="I80" s="304"/>
      <c r="J80" s="304"/>
      <c r="K80" s="304"/>
    </row>
    <row r="81" spans="2:11" s="16" customFormat="1">
      <c r="B81" s="48" t="s">
        <v>240</v>
      </c>
      <c r="C81" s="62">
        <f t="shared" si="12"/>
        <v>3.9711570903094871E-2</v>
      </c>
      <c r="D81" s="62">
        <f t="shared" si="13"/>
        <v>0.17393668055555556</v>
      </c>
      <c r="E81" s="82">
        <v>0.89453150000000003</v>
      </c>
      <c r="F81" s="52" t="s">
        <v>245</v>
      </c>
      <c r="G81" s="301" t="s">
        <v>246</v>
      </c>
      <c r="I81" s="304"/>
      <c r="J81" s="304"/>
      <c r="K81" s="304"/>
    </row>
    <row r="82" spans="2:11" s="16" customFormat="1">
      <c r="B82" s="48" t="s">
        <v>241</v>
      </c>
      <c r="C82" s="62">
        <f t="shared" si="12"/>
        <v>1.3036390157280569E-7</v>
      </c>
      <c r="D82" s="62">
        <f t="shared" si="13"/>
        <v>5.7099388888888895E-7</v>
      </c>
      <c r="E82" s="82">
        <v>2.9365400000000004E-6</v>
      </c>
      <c r="F82" s="52" t="s">
        <v>245</v>
      </c>
      <c r="G82" s="301" t="s">
        <v>246</v>
      </c>
      <c r="I82" s="304"/>
      <c r="J82" s="304"/>
      <c r="K82" s="304"/>
    </row>
    <row r="83" spans="2:11" s="16" customFormat="1">
      <c r="B83" s="48" t="s">
        <v>242</v>
      </c>
      <c r="C83" s="62">
        <f t="shared" si="12"/>
        <v>4.9460340563165895E-5</v>
      </c>
      <c r="D83" s="62">
        <f t="shared" si="13"/>
        <v>2.1663629166666663E-4</v>
      </c>
      <c r="E83" s="82">
        <v>1.1141294999999999E-3</v>
      </c>
      <c r="F83" s="52" t="s">
        <v>245</v>
      </c>
      <c r="G83" s="301" t="s">
        <v>246</v>
      </c>
      <c r="I83" s="304"/>
      <c r="J83" s="304"/>
      <c r="K83" s="304"/>
    </row>
    <row r="84" spans="2:11" s="16" customFormat="1">
      <c r="B84" s="48" t="s">
        <v>243</v>
      </c>
      <c r="C84" s="62">
        <f t="shared" si="12"/>
        <v>3.4564342338914262E-4</v>
      </c>
      <c r="D84" s="62">
        <f t="shared" si="13"/>
        <v>1.5139181944444447E-3</v>
      </c>
      <c r="E84" s="82">
        <v>7.7858650000000012E-3</v>
      </c>
      <c r="F84" s="52" t="s">
        <v>245</v>
      </c>
      <c r="G84" s="301" t="s">
        <v>246</v>
      </c>
      <c r="I84" s="304"/>
      <c r="J84" s="304"/>
      <c r="K84" s="304"/>
    </row>
    <row r="85" spans="2:11" s="16" customFormat="1">
      <c r="B85" s="48" t="s">
        <v>244</v>
      </c>
      <c r="C85" s="62">
        <f t="shared" si="12"/>
        <v>1.6869609335362759E-2</v>
      </c>
      <c r="D85" s="62">
        <f t="shared" si="13"/>
        <v>7.3888888888888879E-2</v>
      </c>
      <c r="E85" s="82">
        <v>0.38</v>
      </c>
      <c r="F85" s="52" t="s">
        <v>245</v>
      </c>
      <c r="G85" s="301" t="s">
        <v>246</v>
      </c>
      <c r="I85" s="304"/>
      <c r="J85" s="304"/>
      <c r="K85" s="304"/>
    </row>
    <row r="86" spans="2:11" ht="6" customHeight="1" thickBot="1">
      <c r="B86" s="83"/>
      <c r="C86" s="84"/>
      <c r="D86" s="84"/>
      <c r="E86" s="84"/>
      <c r="F86" s="84"/>
      <c r="G86" s="303"/>
    </row>
    <row r="87" spans="2:11" ht="6" customHeight="1">
      <c r="B87" s="315"/>
      <c r="C87" s="311"/>
      <c r="D87" s="311"/>
      <c r="E87" s="311"/>
      <c r="F87" s="311"/>
      <c r="G87" s="313"/>
    </row>
    <row r="88" spans="2:11" s="11" customFormat="1" ht="15">
      <c r="B88" s="775" t="s">
        <v>251</v>
      </c>
      <c r="C88" s="329"/>
      <c r="D88" s="329"/>
      <c r="E88" s="330"/>
      <c r="F88" s="329"/>
      <c r="G88" s="331"/>
      <c r="I88" s="306"/>
      <c r="J88" s="306"/>
      <c r="K88" s="306"/>
    </row>
    <row r="89" spans="2:11" s="18" customFormat="1" ht="6" customHeight="1" thickBot="1">
      <c r="D89" s="27"/>
      <c r="E89" s="25"/>
      <c r="F89" s="25"/>
      <c r="G89" s="21"/>
      <c r="I89" s="307"/>
      <c r="J89" s="307"/>
      <c r="K89" s="307"/>
    </row>
    <row r="90" spans="2:11" s="18" customFormat="1" ht="6" customHeight="1">
      <c r="B90" s="28"/>
      <c r="C90" s="29"/>
      <c r="D90" s="30"/>
      <c r="E90" s="31"/>
      <c r="F90" s="31"/>
      <c r="G90" s="298"/>
      <c r="I90" s="307"/>
      <c r="J90" s="307"/>
      <c r="K90" s="307"/>
    </row>
    <row r="91" spans="2:11" s="37" customFormat="1" ht="38.25">
      <c r="B91" s="33" t="s">
        <v>32</v>
      </c>
      <c r="C91" s="34" t="s">
        <v>140</v>
      </c>
      <c r="D91" s="34" t="s">
        <v>141</v>
      </c>
      <c r="E91" s="34" t="s">
        <v>139</v>
      </c>
      <c r="F91" s="34" t="s">
        <v>35</v>
      </c>
      <c r="G91" s="35" t="s">
        <v>36</v>
      </c>
      <c r="I91" s="545"/>
      <c r="J91" s="545"/>
      <c r="K91" s="545"/>
    </row>
    <row r="92" spans="2:11" s="18" customFormat="1" ht="6" customHeight="1" thickBot="1">
      <c r="B92" s="38"/>
      <c r="C92" s="39"/>
      <c r="D92" s="40"/>
      <c r="E92" s="41"/>
      <c r="F92" s="41"/>
      <c r="G92" s="299"/>
      <c r="I92" s="307"/>
      <c r="J92" s="307"/>
      <c r="K92" s="307"/>
    </row>
    <row r="93" spans="2:11" s="18" customFormat="1" ht="6" customHeight="1">
      <c r="B93" s="28"/>
      <c r="C93" s="29"/>
      <c r="D93" s="30"/>
      <c r="E93" s="31"/>
      <c r="F93" s="31"/>
      <c r="G93" s="298"/>
      <c r="I93" s="307"/>
      <c r="J93" s="307"/>
      <c r="K93" s="307"/>
    </row>
    <row r="94" spans="2:11" s="16" customFormat="1">
      <c r="B94" s="43" t="s">
        <v>37</v>
      </c>
      <c r="C94" s="44"/>
      <c r="D94" s="45"/>
      <c r="E94" s="46"/>
      <c r="F94" s="46"/>
      <c r="G94" s="300"/>
      <c r="I94" s="304"/>
      <c r="J94" s="304"/>
      <c r="K94" s="304"/>
    </row>
    <row r="95" spans="2:11" s="16" customFormat="1">
      <c r="B95" s="48" t="s">
        <v>228</v>
      </c>
      <c r="C95" s="49">
        <f t="shared" ref="C95:C102" si="14">D95/$C$12*2000</f>
        <v>0.88048515981735143</v>
      </c>
      <c r="D95" s="50">
        <f>E95*$C$17/2000</f>
        <v>3.8565249999999991</v>
      </c>
      <c r="E95" s="321">
        <f>1.9*(1+'Key Inputs'!$G$2)</f>
        <v>2.1849999999999996</v>
      </c>
      <c r="F95" s="52" t="s">
        <v>39</v>
      </c>
      <c r="G95" s="314" t="s">
        <v>142</v>
      </c>
      <c r="I95" s="304"/>
      <c r="J95" s="304"/>
      <c r="K95" s="304"/>
    </row>
    <row r="96" spans="2:11" s="16" customFormat="1" ht="14.25">
      <c r="B96" s="48" t="s">
        <v>229</v>
      </c>
      <c r="C96" s="49">
        <f t="shared" si="14"/>
        <v>0.88048515981735143</v>
      </c>
      <c r="D96" s="50">
        <f t="shared" ref="D96:D102" si="15">E96*$C$17/2000</f>
        <v>3.8565249999999991</v>
      </c>
      <c r="E96" s="321">
        <f>1.9*(1+'Key Inputs'!$G$2)</f>
        <v>2.1849999999999996</v>
      </c>
      <c r="F96" s="52" t="s">
        <v>39</v>
      </c>
      <c r="G96" s="314" t="s">
        <v>142</v>
      </c>
      <c r="I96" s="304"/>
      <c r="J96" s="304"/>
      <c r="K96" s="304"/>
    </row>
    <row r="97" spans="2:11" s="16" customFormat="1" ht="14.25">
      <c r="B97" s="48" t="s">
        <v>230</v>
      </c>
      <c r="C97" s="49">
        <f t="shared" si="14"/>
        <v>0.88048515981735143</v>
      </c>
      <c r="D97" s="50">
        <f t="shared" si="15"/>
        <v>3.8565249999999991</v>
      </c>
      <c r="E97" s="321">
        <f>1.9*(1+'Key Inputs'!$G$2)</f>
        <v>2.1849999999999996</v>
      </c>
      <c r="F97" s="52" t="s">
        <v>39</v>
      </c>
      <c r="G97" s="314" t="s">
        <v>142</v>
      </c>
      <c r="I97" s="304"/>
      <c r="J97" s="304"/>
      <c r="K97" s="304"/>
    </row>
    <row r="98" spans="2:11" s="160" customFormat="1" ht="15" customHeight="1">
      <c r="B98" s="48" t="s">
        <v>227</v>
      </c>
      <c r="C98" s="49">
        <f t="shared" si="14"/>
        <v>2.6414554794520546</v>
      </c>
      <c r="D98" s="50">
        <f t="shared" si="15"/>
        <v>11.569574999999999</v>
      </c>
      <c r="E98" s="321">
        <f>5.7*(1+'Key Inputs'!$G$2)</f>
        <v>6.5549999999999997</v>
      </c>
      <c r="F98" s="52" t="s">
        <v>39</v>
      </c>
      <c r="G98" s="314" t="s">
        <v>260</v>
      </c>
      <c r="I98" s="310"/>
      <c r="J98" s="310"/>
      <c r="K98" s="310"/>
    </row>
    <row r="99" spans="2:11" s="16" customFormat="1" ht="14.25">
      <c r="B99" s="48" t="s">
        <v>148</v>
      </c>
      <c r="C99" s="49">
        <f t="shared" si="14"/>
        <v>46.341324200913235</v>
      </c>
      <c r="D99" s="50">
        <f t="shared" si="15"/>
        <v>202.97499999999997</v>
      </c>
      <c r="E99" s="322">
        <f>100*(1+'Key Inputs'!$G$2)</f>
        <v>114.99999999999999</v>
      </c>
      <c r="F99" s="52" t="s">
        <v>39</v>
      </c>
      <c r="G99" s="301" t="s">
        <v>129</v>
      </c>
      <c r="I99" s="304"/>
      <c r="J99" s="304"/>
      <c r="K99" s="304"/>
    </row>
    <row r="100" spans="2:11" s="16" customFormat="1">
      <c r="B100" s="48" t="s">
        <v>65</v>
      </c>
      <c r="C100" s="49">
        <f t="shared" si="14"/>
        <v>2.5487728310502278</v>
      </c>
      <c r="D100" s="50">
        <f t="shared" si="15"/>
        <v>11.163624999999998</v>
      </c>
      <c r="E100" s="321">
        <f>5.5*(1+'Key Inputs'!$G$2)</f>
        <v>6.3249999999999993</v>
      </c>
      <c r="F100" s="52" t="s">
        <v>39</v>
      </c>
      <c r="G100" s="301" t="s">
        <v>126</v>
      </c>
      <c r="I100" s="304"/>
      <c r="J100" s="304"/>
      <c r="K100" s="304"/>
    </row>
    <row r="101" spans="2:11" s="16" customFormat="1" ht="14.25">
      <c r="B101" s="48" t="s">
        <v>149</v>
      </c>
      <c r="C101" s="49">
        <f t="shared" si="14"/>
        <v>0.27804794520547943</v>
      </c>
      <c r="D101" s="50">
        <f t="shared" si="15"/>
        <v>1.2178499999999999</v>
      </c>
      <c r="E101" s="321">
        <f>0.6*(1+'Key Inputs'!$G$2)</f>
        <v>0.69</v>
      </c>
      <c r="F101" s="52" t="s">
        <v>39</v>
      </c>
      <c r="G101" s="301" t="s">
        <v>126</v>
      </c>
      <c r="I101" s="304"/>
      <c r="J101" s="304"/>
      <c r="K101" s="304"/>
    </row>
    <row r="102" spans="2:11" s="16" customFormat="1">
      <c r="B102" s="48" t="s">
        <v>40</v>
      </c>
      <c r="C102" s="49">
        <f t="shared" si="14"/>
        <v>38.926712328767117</v>
      </c>
      <c r="D102" s="50">
        <f t="shared" si="15"/>
        <v>170.499</v>
      </c>
      <c r="E102" s="322">
        <f>84*(1+'Key Inputs'!$G$2)</f>
        <v>96.6</v>
      </c>
      <c r="F102" s="52" t="s">
        <v>39</v>
      </c>
      <c r="G102" s="301" t="s">
        <v>129</v>
      </c>
      <c r="I102" s="304"/>
      <c r="J102" s="304"/>
      <c r="K102" s="304"/>
    </row>
    <row r="103" spans="2:11" s="16" customFormat="1" ht="6" customHeight="1">
      <c r="B103" s="48"/>
      <c r="C103" s="53"/>
      <c r="D103" s="54"/>
      <c r="E103" s="55"/>
      <c r="F103" s="46"/>
      <c r="G103" s="300"/>
      <c r="I103" s="304"/>
      <c r="J103" s="304"/>
      <c r="K103" s="304"/>
    </row>
    <row r="104" spans="2:11" s="16" customFormat="1">
      <c r="B104" s="43" t="s">
        <v>41</v>
      </c>
      <c r="C104" s="44"/>
      <c r="D104" s="54"/>
      <c r="E104" s="56"/>
      <c r="F104" s="57"/>
      <c r="G104" s="300"/>
      <c r="I104" s="304"/>
      <c r="J104" s="304"/>
      <c r="K104" s="304"/>
    </row>
    <row r="105" spans="2:11" s="16" customFormat="1">
      <c r="B105" s="58" t="s">
        <v>42</v>
      </c>
      <c r="C105" s="59"/>
      <c r="D105" s="54"/>
      <c r="E105" s="50"/>
      <c r="F105" s="60"/>
      <c r="G105" s="300"/>
      <c r="I105" s="304"/>
      <c r="J105" s="304"/>
      <c r="K105" s="304"/>
    </row>
    <row r="106" spans="2:11" s="16" customFormat="1" hidden="1">
      <c r="B106" s="61" t="s">
        <v>66</v>
      </c>
      <c r="C106" s="62">
        <f t="shared" ref="C106:C129" si="16">D106/$C$12*2000</f>
        <v>1.1121917808219178E-5</v>
      </c>
      <c r="D106" s="63">
        <f>E106*$C$17/2000</f>
        <v>4.8714000000000001E-5</v>
      </c>
      <c r="E106" s="326">
        <f>0.000024*(1+'Key Inputs'!G2)</f>
        <v>2.76E-5</v>
      </c>
      <c r="F106" s="46" t="s">
        <v>39</v>
      </c>
      <c r="G106" s="300" t="s">
        <v>128</v>
      </c>
      <c r="I106" s="304"/>
      <c r="J106" s="304"/>
      <c r="K106" s="304"/>
    </row>
    <row r="107" spans="2:11" s="16" customFormat="1" hidden="1">
      <c r="B107" s="61" t="s">
        <v>67</v>
      </c>
      <c r="C107" s="62">
        <f t="shared" si="16"/>
        <v>8.3414383561643825E-7</v>
      </c>
      <c r="D107" s="63">
        <f t="shared" ref="D107:D129" si="17">E107*$C$17/2000</f>
        <v>3.6535499999999995E-6</v>
      </c>
      <c r="E107" s="326">
        <f>0.0000018*(1+'Key Inputs'!G2)</f>
        <v>2.0699999999999997E-6</v>
      </c>
      <c r="F107" s="46" t="s">
        <v>39</v>
      </c>
      <c r="G107" s="300" t="s">
        <v>128</v>
      </c>
      <c r="I107" s="304"/>
      <c r="J107" s="304"/>
      <c r="K107" s="304"/>
    </row>
    <row r="108" spans="2:11" s="16" customFormat="1" hidden="1">
      <c r="B108" s="61" t="s">
        <v>68</v>
      </c>
      <c r="C108" s="62">
        <f t="shared" si="16"/>
        <v>7.4146118721461166E-6</v>
      </c>
      <c r="D108" s="63">
        <f t="shared" si="17"/>
        <v>3.2475999999999992E-5</v>
      </c>
      <c r="E108" s="326">
        <f>0.000016*(1+'Key Inputs'!G2)</f>
        <v>1.8399999999999997E-5</v>
      </c>
      <c r="F108" s="46" t="s">
        <v>39</v>
      </c>
      <c r="G108" s="300" t="s">
        <v>128</v>
      </c>
      <c r="I108" s="304"/>
      <c r="J108" s="304"/>
      <c r="K108" s="304"/>
    </row>
    <row r="109" spans="2:11" s="16" customFormat="1" hidden="1">
      <c r="B109" s="61" t="s">
        <v>108</v>
      </c>
      <c r="C109" s="62">
        <f t="shared" si="16"/>
        <v>8.3414383561643825E-7</v>
      </c>
      <c r="D109" s="63">
        <f t="shared" si="17"/>
        <v>3.6535499999999995E-6</v>
      </c>
      <c r="E109" s="326">
        <f>0.0000018*(1+'Key Inputs'!G2)</f>
        <v>2.0699999999999997E-6</v>
      </c>
      <c r="F109" s="46" t="s">
        <v>39</v>
      </c>
      <c r="G109" s="300" t="s">
        <v>128</v>
      </c>
      <c r="I109" s="304"/>
      <c r="J109" s="304"/>
      <c r="K109" s="304"/>
    </row>
    <row r="110" spans="2:11" s="16" customFormat="1" hidden="1">
      <c r="B110" s="61" t="s">
        <v>109</v>
      </c>
      <c r="C110" s="62">
        <f t="shared" si="16"/>
        <v>8.3414383561643825E-7</v>
      </c>
      <c r="D110" s="63">
        <f t="shared" si="17"/>
        <v>3.6535499999999995E-6</v>
      </c>
      <c r="E110" s="326">
        <f>0.0000018*(1+'Key Inputs'!G2)</f>
        <v>2.0699999999999997E-6</v>
      </c>
      <c r="F110" s="46" t="s">
        <v>39</v>
      </c>
      <c r="G110" s="300" t="s">
        <v>128</v>
      </c>
      <c r="I110" s="304"/>
      <c r="J110" s="304"/>
      <c r="K110" s="304"/>
    </row>
    <row r="111" spans="2:11" s="16" customFormat="1" hidden="1">
      <c r="B111" s="61" t="s">
        <v>69</v>
      </c>
      <c r="C111" s="62">
        <f t="shared" si="16"/>
        <v>1.1121917808219177E-6</v>
      </c>
      <c r="D111" s="63">
        <f t="shared" si="17"/>
        <v>4.8713999999999996E-6</v>
      </c>
      <c r="E111" s="326">
        <f>0.0000024*(1+'Key Inputs'!G2)</f>
        <v>2.7599999999999998E-6</v>
      </c>
      <c r="F111" s="46" t="s">
        <v>39</v>
      </c>
      <c r="G111" s="300" t="s">
        <v>128</v>
      </c>
      <c r="I111" s="304"/>
      <c r="J111" s="304"/>
      <c r="K111" s="304"/>
    </row>
    <row r="112" spans="2:11" s="16" customFormat="1" hidden="1">
      <c r="B112" s="61" t="s">
        <v>70</v>
      </c>
      <c r="C112" s="62">
        <f t="shared" si="16"/>
        <v>8.3414383561643825E-7</v>
      </c>
      <c r="D112" s="63">
        <f t="shared" si="17"/>
        <v>3.6535499999999995E-6</v>
      </c>
      <c r="E112" s="326">
        <f>0.0000018*(1+'Key Inputs'!G2)</f>
        <v>2.0699999999999997E-6</v>
      </c>
      <c r="F112" s="46" t="s">
        <v>39</v>
      </c>
      <c r="G112" s="300" t="s">
        <v>128</v>
      </c>
      <c r="I112" s="304"/>
      <c r="J112" s="304"/>
      <c r="K112" s="304"/>
    </row>
    <row r="113" spans="2:11" s="16" customFormat="1" hidden="1">
      <c r="B113" s="61" t="s">
        <v>43</v>
      </c>
      <c r="C113" s="62">
        <f t="shared" si="16"/>
        <v>9.7316780821917782E-4</v>
      </c>
      <c r="D113" s="63">
        <f t="shared" si="17"/>
        <v>4.2624749999999991E-3</v>
      </c>
      <c r="E113" s="326">
        <f>0.0021*(1+'Key Inputs'!G2)</f>
        <v>2.4149999999999996E-3</v>
      </c>
      <c r="F113" s="46" t="s">
        <v>39</v>
      </c>
      <c r="G113" s="300" t="s">
        <v>128</v>
      </c>
      <c r="I113" s="304"/>
      <c r="J113" s="304"/>
      <c r="K113" s="304"/>
    </row>
    <row r="114" spans="2:11" s="16" customFormat="1" hidden="1">
      <c r="B114" s="61" t="s">
        <v>71</v>
      </c>
      <c r="C114" s="62">
        <f t="shared" si="16"/>
        <v>5.5609589041095887E-7</v>
      </c>
      <c r="D114" s="63">
        <f t="shared" si="17"/>
        <v>2.4356999999999998E-6</v>
      </c>
      <c r="E114" s="326">
        <f>0.0000012*(1+'Key Inputs'!G2)</f>
        <v>1.3799999999999999E-6</v>
      </c>
      <c r="F114" s="46" t="s">
        <v>39</v>
      </c>
      <c r="G114" s="300" t="s">
        <v>128</v>
      </c>
      <c r="I114" s="304"/>
      <c r="J114" s="304"/>
      <c r="K114" s="304"/>
    </row>
    <row r="115" spans="2:11" s="16" customFormat="1" hidden="1">
      <c r="B115" s="61" t="s">
        <v>72</v>
      </c>
      <c r="C115" s="62">
        <f t="shared" si="16"/>
        <v>8.3414383561643825E-7</v>
      </c>
      <c r="D115" s="63">
        <f t="shared" si="17"/>
        <v>3.6535499999999995E-6</v>
      </c>
      <c r="E115" s="326">
        <f>0.0000018*(1+'Key Inputs'!G2)</f>
        <v>2.0699999999999997E-6</v>
      </c>
      <c r="F115" s="46" t="s">
        <v>39</v>
      </c>
      <c r="G115" s="300" t="s">
        <v>128</v>
      </c>
      <c r="I115" s="304"/>
      <c r="J115" s="304"/>
      <c r="K115" s="304"/>
    </row>
    <row r="116" spans="2:11" s="16" customFormat="1" hidden="1">
      <c r="B116" s="61" t="s">
        <v>73</v>
      </c>
      <c r="C116" s="62">
        <f t="shared" si="16"/>
        <v>5.5609589041095887E-7</v>
      </c>
      <c r="D116" s="63">
        <f t="shared" si="17"/>
        <v>2.4356999999999998E-6</v>
      </c>
      <c r="E116" s="326">
        <f>0.0000012*(1+'Key Inputs'!G2)</f>
        <v>1.3799999999999999E-6</v>
      </c>
      <c r="F116" s="46" t="s">
        <v>39</v>
      </c>
      <c r="G116" s="300" t="s">
        <v>128</v>
      </c>
      <c r="I116" s="304"/>
      <c r="J116" s="304"/>
      <c r="K116" s="304"/>
    </row>
    <row r="117" spans="2:11" s="16" customFormat="1" hidden="1">
      <c r="B117" s="61" t="s">
        <v>74</v>
      </c>
      <c r="C117" s="62">
        <f t="shared" si="16"/>
        <v>8.3414383561643825E-7</v>
      </c>
      <c r="D117" s="63">
        <f t="shared" si="17"/>
        <v>3.6535499999999995E-6</v>
      </c>
      <c r="E117" s="326">
        <f>0.0000018*(1+'Key Inputs'!G2)</f>
        <v>2.0699999999999997E-6</v>
      </c>
      <c r="F117" s="46" t="s">
        <v>39</v>
      </c>
      <c r="G117" s="300" t="s">
        <v>128</v>
      </c>
      <c r="I117" s="304"/>
      <c r="J117" s="304"/>
      <c r="K117" s="304"/>
    </row>
    <row r="118" spans="2:11" s="16" customFormat="1" hidden="1">
      <c r="B118" s="61" t="s">
        <v>75</v>
      </c>
      <c r="C118" s="62">
        <f t="shared" si="16"/>
        <v>8.3414383561643825E-7</v>
      </c>
      <c r="D118" s="63">
        <f t="shared" si="17"/>
        <v>3.6535499999999995E-6</v>
      </c>
      <c r="E118" s="326">
        <f>0.0000018*(1+'Key Inputs'!G2)</f>
        <v>2.0699999999999997E-6</v>
      </c>
      <c r="F118" s="46" t="s">
        <v>39</v>
      </c>
      <c r="G118" s="300" t="s">
        <v>128</v>
      </c>
      <c r="I118" s="304"/>
      <c r="J118" s="304"/>
      <c r="K118" s="304"/>
    </row>
    <row r="119" spans="2:11" s="16" customFormat="1" hidden="1">
      <c r="B119" s="61" t="s">
        <v>76</v>
      </c>
      <c r="C119" s="62">
        <f t="shared" si="16"/>
        <v>5.5609589041095887E-7</v>
      </c>
      <c r="D119" s="63">
        <f t="shared" si="17"/>
        <v>2.4356999999999998E-6</v>
      </c>
      <c r="E119" s="326">
        <f>0.0000012*(1+'Key Inputs'!G2)</f>
        <v>1.3799999999999999E-6</v>
      </c>
      <c r="F119" s="46" t="s">
        <v>39</v>
      </c>
      <c r="G119" s="300" t="s">
        <v>128</v>
      </c>
      <c r="I119" s="304"/>
      <c r="J119" s="304"/>
      <c r="K119" s="304"/>
    </row>
    <row r="120" spans="2:11" s="16" customFormat="1" hidden="1">
      <c r="B120" s="61" t="s">
        <v>77</v>
      </c>
      <c r="C120" s="62">
        <f t="shared" si="16"/>
        <v>5.5609589041095877E-4</v>
      </c>
      <c r="D120" s="63">
        <f t="shared" si="17"/>
        <v>2.4356999999999994E-3</v>
      </c>
      <c r="E120" s="326">
        <f>0.0012*(1+'Key Inputs'!G2)</f>
        <v>1.3799999999999997E-3</v>
      </c>
      <c r="F120" s="46" t="s">
        <v>39</v>
      </c>
      <c r="G120" s="300" t="s">
        <v>128</v>
      </c>
      <c r="I120" s="304"/>
      <c r="J120" s="304"/>
      <c r="K120" s="304"/>
    </row>
    <row r="121" spans="2:11" s="16" customFormat="1" hidden="1">
      <c r="B121" s="61" t="s">
        <v>78</v>
      </c>
      <c r="C121" s="62">
        <f t="shared" si="16"/>
        <v>1.3902397260273972E-6</v>
      </c>
      <c r="D121" s="63">
        <f t="shared" si="17"/>
        <v>6.0892500000000002E-6</v>
      </c>
      <c r="E121" s="326">
        <f>0.000003*(1+'Key Inputs'!G2)</f>
        <v>3.45E-6</v>
      </c>
      <c r="F121" s="46" t="s">
        <v>39</v>
      </c>
      <c r="G121" s="300" t="s">
        <v>128</v>
      </c>
      <c r="I121" s="304"/>
      <c r="J121" s="304"/>
      <c r="K121" s="304"/>
    </row>
    <row r="122" spans="2:11" s="16" customFormat="1" hidden="1">
      <c r="B122" s="61" t="s">
        <v>79</v>
      </c>
      <c r="C122" s="62">
        <f t="shared" si="16"/>
        <v>1.2975570776255706E-6</v>
      </c>
      <c r="D122" s="63">
        <f t="shared" si="17"/>
        <v>5.6832999999999994E-6</v>
      </c>
      <c r="E122" s="326">
        <f>0.0000028*(1+'Key Inputs'!G2)</f>
        <v>3.2199999999999997E-6</v>
      </c>
      <c r="F122" s="46" t="s">
        <v>39</v>
      </c>
      <c r="G122" s="300" t="s">
        <v>128</v>
      </c>
      <c r="I122" s="304"/>
      <c r="J122" s="304"/>
      <c r="K122" s="304"/>
    </row>
    <row r="123" spans="2:11" s="16" customFormat="1" hidden="1">
      <c r="B123" s="61" t="s">
        <v>106</v>
      </c>
      <c r="C123" s="62">
        <f t="shared" si="16"/>
        <v>3.4755993150684929E-2</v>
      </c>
      <c r="D123" s="63">
        <f t="shared" si="17"/>
        <v>0.15223124999999998</v>
      </c>
      <c r="E123" s="326">
        <f>0.075*(1+'Key Inputs'!G2)</f>
        <v>8.6249999999999993E-2</v>
      </c>
      <c r="F123" s="46" t="s">
        <v>39</v>
      </c>
      <c r="G123" s="300" t="s">
        <v>128</v>
      </c>
      <c r="I123" s="304"/>
      <c r="J123" s="304"/>
      <c r="K123" s="304"/>
    </row>
    <row r="124" spans="2:11" s="16" customFormat="1">
      <c r="B124" s="61" t="s">
        <v>80</v>
      </c>
      <c r="C124" s="62">
        <f t="shared" si="16"/>
        <v>0.83414383561643834</v>
      </c>
      <c r="D124" s="63">
        <f t="shared" si="17"/>
        <v>3.6535499999999996</v>
      </c>
      <c r="E124" s="326">
        <f>1.8*(1+'Key Inputs'!$G$2)</f>
        <v>2.0699999999999998</v>
      </c>
      <c r="F124" s="46" t="s">
        <v>39</v>
      </c>
      <c r="G124" s="300" t="s">
        <v>128</v>
      </c>
      <c r="I124" s="304"/>
      <c r="J124" s="304"/>
      <c r="K124" s="304"/>
    </row>
    <row r="125" spans="2:11" s="16" customFormat="1" hidden="1">
      <c r="B125" s="61" t="s">
        <v>81</v>
      </c>
      <c r="C125" s="62">
        <f t="shared" si="16"/>
        <v>8.3414383561643825E-7</v>
      </c>
      <c r="D125" s="63">
        <f t="shared" si="17"/>
        <v>3.6535499999999995E-6</v>
      </c>
      <c r="E125" s="326">
        <f>0.0000018*(1+'Key Inputs'!G2)</f>
        <v>2.0699999999999997E-6</v>
      </c>
      <c r="F125" s="46" t="s">
        <v>39</v>
      </c>
      <c r="G125" s="300" t="s">
        <v>128</v>
      </c>
      <c r="I125" s="304"/>
      <c r="J125" s="304"/>
      <c r="K125" s="304"/>
    </row>
    <row r="126" spans="2:11" s="16" customFormat="1" hidden="1">
      <c r="B126" s="61" t="s">
        <v>82</v>
      </c>
      <c r="C126" s="62">
        <f t="shared" si="16"/>
        <v>2.8268207762557071E-4</v>
      </c>
      <c r="D126" s="63">
        <f t="shared" si="17"/>
        <v>1.2381474999999997E-3</v>
      </c>
      <c r="E126" s="326">
        <f>0.00061*(1+'Key Inputs'!G2)</f>
        <v>7.0149999999999987E-4</v>
      </c>
      <c r="F126" s="46" t="s">
        <v>39</v>
      </c>
      <c r="G126" s="300" t="s">
        <v>128</v>
      </c>
      <c r="I126" s="304"/>
      <c r="J126" s="304"/>
      <c r="K126" s="304"/>
    </row>
    <row r="127" spans="2:11" s="16" customFormat="1" hidden="1">
      <c r="B127" s="61" t="s">
        <v>83</v>
      </c>
      <c r="C127" s="62">
        <f t="shared" si="16"/>
        <v>7.8780251141552502E-6</v>
      </c>
      <c r="D127" s="63">
        <f t="shared" si="17"/>
        <v>3.4505749999999994E-5</v>
      </c>
      <c r="E127" s="326">
        <f>0.000017*(1+'Key Inputs'!G2)</f>
        <v>1.9549999999999997E-5</v>
      </c>
      <c r="F127" s="46" t="s">
        <v>39</v>
      </c>
      <c r="G127" s="300" t="s">
        <v>128</v>
      </c>
      <c r="I127" s="304"/>
      <c r="J127" s="304"/>
      <c r="K127" s="304"/>
    </row>
    <row r="128" spans="2:11" s="16" customFormat="1" hidden="1">
      <c r="B128" s="61" t="s">
        <v>84</v>
      </c>
      <c r="C128" s="62">
        <f t="shared" si="16"/>
        <v>2.3170662100456621E-6</v>
      </c>
      <c r="D128" s="63">
        <f t="shared" si="17"/>
        <v>1.014875E-5</v>
      </c>
      <c r="E128" s="326">
        <f>0.000005*(1+'Key Inputs'!G2)</f>
        <v>5.75E-6</v>
      </c>
      <c r="F128" s="46" t="s">
        <v>39</v>
      </c>
      <c r="G128" s="300" t="s">
        <v>128</v>
      </c>
      <c r="I128" s="304"/>
      <c r="J128" s="304"/>
      <c r="K128" s="304"/>
    </row>
    <row r="129" spans="2:11" s="16" customFormat="1" hidden="1">
      <c r="B129" s="61" t="s">
        <v>85</v>
      </c>
      <c r="C129" s="62">
        <f t="shared" si="16"/>
        <v>1.5756050228310499E-3</v>
      </c>
      <c r="D129" s="63">
        <f t="shared" si="17"/>
        <v>6.9011499999999983E-3</v>
      </c>
      <c r="E129" s="326">
        <f>0.0034*(1+'Key Inputs'!G2)</f>
        <v>3.9099999999999994E-3</v>
      </c>
      <c r="F129" s="46" t="s">
        <v>39</v>
      </c>
      <c r="G129" s="300" t="s">
        <v>128</v>
      </c>
      <c r="I129" s="304"/>
      <c r="J129" s="304"/>
      <c r="K129" s="304"/>
    </row>
    <row r="130" spans="2:11" s="16" customFormat="1">
      <c r="B130" s="58"/>
      <c r="C130" s="64"/>
      <c r="D130" s="65"/>
      <c r="E130" s="50"/>
      <c r="F130" s="60"/>
      <c r="G130" s="300"/>
      <c r="I130" s="304"/>
      <c r="J130" s="304"/>
      <c r="K130" s="304"/>
    </row>
    <row r="131" spans="2:11" s="16" customFormat="1">
      <c r="B131" s="58" t="s">
        <v>261</v>
      </c>
      <c r="C131" s="64"/>
      <c r="D131" s="65"/>
      <c r="E131" s="50"/>
      <c r="F131" s="60"/>
      <c r="G131" s="300"/>
      <c r="I131" s="304"/>
      <c r="J131" s="304"/>
      <c r="K131" s="304"/>
    </row>
    <row r="132" spans="2:11" s="16" customFormat="1">
      <c r="B132" s="61" t="s">
        <v>272</v>
      </c>
      <c r="C132" s="49">
        <f t="shared" ref="C132" si="18">D132/$C$12*2000</f>
        <v>1.4829223744292237</v>
      </c>
      <c r="D132" s="89">
        <f t="shared" ref="D132" si="19">E132*$C$17/2000</f>
        <v>6.4951999999999996</v>
      </c>
      <c r="E132" s="328">
        <f>3.2*(1+'Key Inputs'!$G$2)</f>
        <v>3.6799999999999997</v>
      </c>
      <c r="F132" s="60" t="s">
        <v>39</v>
      </c>
      <c r="G132" s="300" t="s">
        <v>273</v>
      </c>
      <c r="I132" s="304"/>
      <c r="J132" s="304"/>
      <c r="K132" s="304"/>
    </row>
    <row r="133" spans="2:11" s="16" customFormat="1">
      <c r="B133" s="58"/>
      <c r="C133" s="64"/>
      <c r="D133" s="65"/>
      <c r="E133" s="50"/>
      <c r="F133" s="60"/>
      <c r="G133" s="300"/>
      <c r="I133" s="304"/>
      <c r="J133" s="304"/>
      <c r="K133" s="304"/>
    </row>
    <row r="134" spans="2:11" s="16" customFormat="1">
      <c r="B134" s="58" t="s">
        <v>86</v>
      </c>
      <c r="C134" s="64"/>
      <c r="D134" s="65"/>
      <c r="E134" s="50"/>
      <c r="F134" s="60"/>
      <c r="G134" s="300"/>
      <c r="I134" s="304"/>
      <c r="J134" s="304"/>
      <c r="K134" s="304"/>
    </row>
    <row r="135" spans="2:11" s="16" customFormat="1" hidden="1">
      <c r="B135" s="61" t="s">
        <v>87</v>
      </c>
      <c r="C135" s="62">
        <f t="shared" ref="C135:C144" si="20">D135/$C$12*2000</f>
        <v>9.2682648401826485E-5</v>
      </c>
      <c r="D135" s="63">
        <f>E135*$C$17/2000</f>
        <v>4.0594999999999997E-4</v>
      </c>
      <c r="E135" s="326">
        <f>0.0002*(1+'Key Inputs'!G2)</f>
        <v>2.2999999999999998E-4</v>
      </c>
      <c r="F135" s="46" t="s">
        <v>39</v>
      </c>
      <c r="G135" s="300" t="s">
        <v>127</v>
      </c>
      <c r="I135" s="304"/>
      <c r="J135" s="304"/>
      <c r="K135" s="304"/>
    </row>
    <row r="136" spans="2:11" s="16" customFormat="1" hidden="1">
      <c r="B136" s="61" t="s">
        <v>88</v>
      </c>
      <c r="C136" s="62">
        <f t="shared" si="20"/>
        <v>2.0390182648401829E-3</v>
      </c>
      <c r="D136" s="63">
        <f t="shared" ref="D136:D144" si="21">E136*$C$17/2000</f>
        <v>8.930900000000002E-3</v>
      </c>
      <c r="E136" s="326">
        <f>0.0044*(1+'Key Inputs'!G2)</f>
        <v>5.0600000000000003E-3</v>
      </c>
      <c r="F136" s="46" t="s">
        <v>39</v>
      </c>
      <c r="G136" s="300" t="s">
        <v>127</v>
      </c>
      <c r="I136" s="304"/>
      <c r="J136" s="304"/>
      <c r="K136" s="304"/>
    </row>
    <row r="137" spans="2:11" s="16" customFormat="1" hidden="1">
      <c r="B137" s="61" t="s">
        <v>11</v>
      </c>
      <c r="C137" s="62">
        <f t="shared" si="20"/>
        <v>5.0975456621004571E-4</v>
      </c>
      <c r="D137" s="63">
        <f t="shared" si="21"/>
        <v>2.2327250000000005E-3</v>
      </c>
      <c r="E137" s="326">
        <f>0.0011*(1+'Key Inputs'!G2)</f>
        <v>1.2650000000000001E-3</v>
      </c>
      <c r="F137" s="46" t="s">
        <v>39</v>
      </c>
      <c r="G137" s="300" t="s">
        <v>127</v>
      </c>
      <c r="I137" s="304"/>
      <c r="J137" s="304"/>
      <c r="K137" s="304"/>
    </row>
    <row r="138" spans="2:11" s="16" customFormat="1" hidden="1">
      <c r="B138" s="61" t="s">
        <v>89</v>
      </c>
      <c r="C138" s="62">
        <f t="shared" si="20"/>
        <v>6.4877853881278532E-4</v>
      </c>
      <c r="D138" s="63">
        <f t="shared" si="21"/>
        <v>2.8416499999999998E-3</v>
      </c>
      <c r="E138" s="326">
        <f>0.0014*(1+'Key Inputs'!G2)</f>
        <v>1.6099999999999999E-3</v>
      </c>
      <c r="F138" s="46" t="s">
        <v>39</v>
      </c>
      <c r="G138" s="300" t="s">
        <v>127</v>
      </c>
      <c r="I138" s="304"/>
      <c r="J138" s="304"/>
      <c r="K138" s="304"/>
    </row>
    <row r="139" spans="2:11" s="16" customFormat="1" hidden="1">
      <c r="B139" s="61" t="s">
        <v>90</v>
      </c>
      <c r="C139" s="62">
        <f t="shared" si="20"/>
        <v>3.8926712328767118E-5</v>
      </c>
      <c r="D139" s="63">
        <f t="shared" si="21"/>
        <v>1.7049899999999998E-4</v>
      </c>
      <c r="E139" s="326">
        <f>0.000084*(1+'Key Inputs'!G2)</f>
        <v>9.659999999999999E-5</v>
      </c>
      <c r="F139" s="46" t="s">
        <v>39</v>
      </c>
      <c r="G139" s="300" t="s">
        <v>127</v>
      </c>
      <c r="I139" s="304"/>
      <c r="J139" s="304"/>
      <c r="K139" s="304"/>
    </row>
    <row r="140" spans="2:11" s="16" customFormat="1">
      <c r="B140" s="61" t="s">
        <v>91</v>
      </c>
      <c r="C140" s="62">
        <f t="shared" si="20"/>
        <v>2.3170662100456619E-4</v>
      </c>
      <c r="D140" s="63">
        <f t="shared" si="21"/>
        <v>1.0148749999999999E-3</v>
      </c>
      <c r="E140" s="326">
        <f>0.0005*(1+'Key Inputs'!$G$2)</f>
        <v>5.7499999999999999E-4</v>
      </c>
      <c r="F140" s="46" t="s">
        <v>39</v>
      </c>
      <c r="G140" s="300" t="s">
        <v>126</v>
      </c>
      <c r="I140" s="304"/>
      <c r="J140" s="304"/>
      <c r="K140" s="304"/>
    </row>
    <row r="141" spans="2:11" s="16" customFormat="1" hidden="1">
      <c r="B141" s="61" t="s">
        <v>7</v>
      </c>
      <c r="C141" s="62">
        <f t="shared" si="20"/>
        <v>1.7609703196347034E-4</v>
      </c>
      <c r="D141" s="63">
        <f t="shared" si="21"/>
        <v>7.7130500000000002E-4</v>
      </c>
      <c r="E141" s="326">
        <f>0.00038*(1+'Key Inputs'!G2)</f>
        <v>4.37E-4</v>
      </c>
      <c r="F141" s="46" t="s">
        <v>39</v>
      </c>
      <c r="G141" s="300" t="s">
        <v>127</v>
      </c>
      <c r="I141" s="304"/>
      <c r="J141" s="304"/>
      <c r="K141" s="304"/>
    </row>
    <row r="142" spans="2:11" s="16" customFormat="1">
      <c r="B142" s="61" t="s">
        <v>92</v>
      </c>
      <c r="C142" s="62">
        <f t="shared" si="20"/>
        <v>1.2048744292237444E-4</v>
      </c>
      <c r="D142" s="63">
        <f t="shared" si="21"/>
        <v>5.2773499999999999E-4</v>
      </c>
      <c r="E142" s="326">
        <f>0.00026*(1+'Key Inputs'!$G$2)</f>
        <v>2.9899999999999995E-4</v>
      </c>
      <c r="F142" s="46" t="s">
        <v>39</v>
      </c>
      <c r="G142" s="300" t="s">
        <v>127</v>
      </c>
      <c r="I142" s="304"/>
      <c r="J142" s="304"/>
      <c r="K142" s="304"/>
    </row>
    <row r="143" spans="2:11" s="16" customFormat="1" hidden="1">
      <c r="B143" s="66" t="s">
        <v>12</v>
      </c>
      <c r="C143" s="62">
        <f t="shared" si="20"/>
        <v>9.7316780821917782E-4</v>
      </c>
      <c r="D143" s="63">
        <f t="shared" si="21"/>
        <v>4.2624749999999991E-3</v>
      </c>
      <c r="E143" s="327">
        <f>0.0021*(1+'Key Inputs'!G2)</f>
        <v>2.4149999999999996E-3</v>
      </c>
      <c r="F143" s="46" t="s">
        <v>39</v>
      </c>
      <c r="G143" s="300" t="s">
        <v>127</v>
      </c>
      <c r="I143" s="304"/>
      <c r="J143" s="304"/>
      <c r="K143" s="304"/>
    </row>
    <row r="144" spans="2:11" s="16" customFormat="1" hidden="1">
      <c r="B144" s="66" t="s">
        <v>93</v>
      </c>
      <c r="C144" s="62">
        <f t="shared" si="20"/>
        <v>1.1121917808219178E-5</v>
      </c>
      <c r="D144" s="63">
        <f t="shared" si="21"/>
        <v>4.8714000000000001E-5</v>
      </c>
      <c r="E144" s="327">
        <f>0.000024*(1+'Key Inputs'!G2)</f>
        <v>2.76E-5</v>
      </c>
      <c r="F144" s="46" t="s">
        <v>39</v>
      </c>
      <c r="G144" s="300" t="s">
        <v>127</v>
      </c>
      <c r="I144" s="304"/>
      <c r="J144" s="304"/>
      <c r="K144" s="304"/>
    </row>
    <row r="145" spans="2:11" s="16" customFormat="1">
      <c r="B145" s="66"/>
      <c r="C145" s="67"/>
      <c r="D145" s="68"/>
      <c r="E145" s="69"/>
      <c r="F145" s="46"/>
      <c r="G145" s="300"/>
      <c r="I145" s="304"/>
      <c r="J145" s="304"/>
      <c r="K145" s="304"/>
    </row>
    <row r="146" spans="2:11" s="16" customFormat="1">
      <c r="B146" s="43" t="s">
        <v>44</v>
      </c>
      <c r="C146" s="44"/>
      <c r="D146" s="68"/>
      <c r="E146" s="69"/>
      <c r="F146" s="46"/>
      <c r="G146" s="300"/>
      <c r="I146" s="304"/>
      <c r="J146" s="304"/>
      <c r="K146" s="304"/>
    </row>
    <row r="147" spans="2:11" s="16" customFormat="1" ht="14.25">
      <c r="B147" s="70" t="s">
        <v>150</v>
      </c>
      <c r="C147" s="71">
        <f>D147/$C$12*2000</f>
        <v>49919.25145333125</v>
      </c>
      <c r="D147" s="72">
        <f>E147*'Key Inputs'!$D$43*$C$17/2000</f>
        <v>218646.32136559088</v>
      </c>
      <c r="E147" s="323">
        <f>CONVERT(53.06,"kg","lbm")</f>
        <v>116.97727631529604</v>
      </c>
      <c r="F147" s="52" t="s">
        <v>45</v>
      </c>
      <c r="G147" s="314" t="s">
        <v>256</v>
      </c>
      <c r="I147" s="304"/>
      <c r="J147" s="304"/>
      <c r="K147" s="304"/>
    </row>
    <row r="148" spans="2:11" s="16" customFormat="1" ht="14.25">
      <c r="B148" s="70" t="s">
        <v>151</v>
      </c>
      <c r="C148" s="49">
        <f>D148/$C$12*2000</f>
        <v>0.94080760371902084</v>
      </c>
      <c r="D148" s="72">
        <f>E148*'Key Inputs'!$D$43*$C$17/2000</f>
        <v>4.1207373042893112</v>
      </c>
      <c r="E148" s="324">
        <f>CONVERT(0.001,"kg","lbm")</f>
        <v>2.2046226218487759E-3</v>
      </c>
      <c r="F148" s="52" t="s">
        <v>45</v>
      </c>
      <c r="G148" s="314" t="s">
        <v>94</v>
      </c>
      <c r="I148" s="304"/>
      <c r="J148" s="304"/>
      <c r="K148" s="304"/>
    </row>
    <row r="149" spans="2:11" s="16" customFormat="1" ht="14.25">
      <c r="B149" s="70" t="s">
        <v>152</v>
      </c>
      <c r="C149" s="49">
        <f>D149/$C$12*2000</f>
        <v>9.4080760371902092E-2</v>
      </c>
      <c r="D149" s="50">
        <f>E149*'Key Inputs'!$D$43*$C$17/2000</f>
        <v>0.41207373042893114</v>
      </c>
      <c r="E149" s="325">
        <f>CONVERT(0.0001,"kg","lbm")</f>
        <v>2.2046226218487756E-4</v>
      </c>
      <c r="F149" s="52" t="s">
        <v>45</v>
      </c>
      <c r="G149" s="314" t="s">
        <v>94</v>
      </c>
      <c r="I149" s="304"/>
      <c r="J149" s="304"/>
      <c r="K149" s="304"/>
    </row>
    <row r="150" spans="2:11" s="16" customFormat="1" ht="14.25">
      <c r="B150" s="70" t="s">
        <v>153</v>
      </c>
      <c r="C150" s="71">
        <f>D150/$C$12*2000</f>
        <v>49970.807710015055</v>
      </c>
      <c r="D150" s="73">
        <f>D147*'Key Inputs'!$C$62+D148*'Key Inputs'!$C$63+D149*'Key Inputs'!$C$64</f>
        <v>218872.13776986592</v>
      </c>
      <c r="E150" s="74" t="s">
        <v>46</v>
      </c>
      <c r="F150" s="75" t="s">
        <v>46</v>
      </c>
      <c r="G150" s="300" t="s">
        <v>47</v>
      </c>
      <c r="I150" s="304"/>
      <c r="J150" s="304"/>
      <c r="K150" s="304"/>
    </row>
    <row r="151" spans="2:11" s="18" customFormat="1" ht="6" customHeight="1" thickBot="1">
      <c r="B151" s="38"/>
      <c r="C151" s="76"/>
      <c r="D151" s="77"/>
      <c r="E151" s="78"/>
      <c r="F151" s="78"/>
      <c r="G151" s="299"/>
      <c r="I151" s="307"/>
      <c r="J151" s="307"/>
      <c r="K151" s="307"/>
    </row>
    <row r="152" spans="2:11" s="18" customFormat="1" ht="6" customHeight="1">
      <c r="D152" s="27"/>
      <c r="E152" s="25"/>
      <c r="F152" s="25"/>
      <c r="G152" s="21"/>
      <c r="I152" s="307"/>
      <c r="J152" s="307"/>
      <c r="K152" s="307"/>
    </row>
    <row r="153" spans="2:11" s="11" customFormat="1" ht="15">
      <c r="B153" s="776" t="s">
        <v>259</v>
      </c>
      <c r="C153" s="316"/>
      <c r="D153" s="316"/>
      <c r="E153" s="317"/>
      <c r="F153" s="316"/>
      <c r="G153" s="318"/>
      <c r="I153" s="306"/>
      <c r="J153" s="306"/>
      <c r="K153" s="306"/>
    </row>
    <row r="154" spans="2:11" s="18" customFormat="1" ht="6" customHeight="1" thickBot="1">
      <c r="D154" s="27"/>
      <c r="E154" s="25"/>
      <c r="F154" s="25"/>
      <c r="G154" s="21"/>
      <c r="I154" s="307"/>
      <c r="J154" s="307"/>
      <c r="K154" s="307"/>
    </row>
    <row r="155" spans="2:11" s="18" customFormat="1" ht="6" customHeight="1">
      <c r="B155" s="28"/>
      <c r="C155" s="29"/>
      <c r="D155" s="30"/>
      <c r="E155" s="31"/>
      <c r="F155" s="31"/>
      <c r="G155" s="298"/>
      <c r="I155" s="307"/>
      <c r="J155" s="307"/>
      <c r="K155" s="307"/>
    </row>
    <row r="156" spans="2:11" s="37" customFormat="1" ht="38.25">
      <c r="B156" s="33" t="s">
        <v>32</v>
      </c>
      <c r="C156" s="34" t="s">
        <v>140</v>
      </c>
      <c r="D156" s="34" t="s">
        <v>141</v>
      </c>
      <c r="E156" s="34" t="s">
        <v>139</v>
      </c>
      <c r="F156" s="34" t="s">
        <v>35</v>
      </c>
      <c r="G156" s="35" t="s">
        <v>36</v>
      </c>
      <c r="I156" s="545"/>
      <c r="J156" s="545"/>
      <c r="K156" s="545"/>
    </row>
    <row r="157" spans="2:11" s="18" customFormat="1" ht="6" customHeight="1" thickBot="1">
      <c r="B157" s="38"/>
      <c r="C157" s="39"/>
      <c r="D157" s="40"/>
      <c r="E157" s="41"/>
      <c r="F157" s="41"/>
      <c r="G157" s="299"/>
      <c r="I157" s="307"/>
      <c r="J157" s="307"/>
      <c r="K157" s="307"/>
    </row>
    <row r="158" spans="2:11" s="18" customFormat="1" ht="6" customHeight="1">
      <c r="B158" s="28"/>
      <c r="C158" s="29"/>
      <c r="D158" s="30"/>
      <c r="E158" s="31"/>
      <c r="F158" s="31"/>
      <c r="G158" s="298"/>
      <c r="I158" s="307"/>
      <c r="J158" s="307"/>
      <c r="K158" s="307"/>
    </row>
    <row r="159" spans="2:11" s="16" customFormat="1">
      <c r="B159" s="43" t="s">
        <v>37</v>
      </c>
      <c r="C159" s="44"/>
      <c r="D159" s="45"/>
      <c r="E159" s="46"/>
      <c r="F159" s="46"/>
      <c r="G159" s="300"/>
      <c r="I159" s="304"/>
      <c r="J159" s="304"/>
      <c r="K159" s="304"/>
    </row>
    <row r="160" spans="2:11" s="16" customFormat="1">
      <c r="B160" s="48" t="s">
        <v>228</v>
      </c>
      <c r="C160" s="49">
        <f t="shared" ref="C160:C167" si="22">D160/$C$12*2000</f>
        <v>2.2952739726027396</v>
      </c>
      <c r="D160" s="50">
        <f>E160*$C$18/2000</f>
        <v>10.0533</v>
      </c>
      <c r="E160" s="321">
        <f>6.2*(1+'Key Inputs'!$G$2)</f>
        <v>7.13</v>
      </c>
      <c r="F160" s="52" t="s">
        <v>39</v>
      </c>
      <c r="G160" s="314" t="s">
        <v>264</v>
      </c>
      <c r="I160" s="304"/>
      <c r="J160" s="304"/>
      <c r="K160" s="304"/>
    </row>
    <row r="161" spans="2:11" s="16" customFormat="1" ht="14.25">
      <c r="B161" s="48" t="s">
        <v>229</v>
      </c>
      <c r="C161" s="49">
        <f t="shared" si="22"/>
        <v>1.6103938356164385</v>
      </c>
      <c r="D161" s="50">
        <f t="shared" ref="D161:D167" si="23">E161*$C$18/2000</f>
        <v>7.0535249999999996</v>
      </c>
      <c r="E161" s="321">
        <f>4.35*(1+'Key Inputs'!$G$2)</f>
        <v>5.0024999999999995</v>
      </c>
      <c r="F161" s="52" t="s">
        <v>39</v>
      </c>
      <c r="G161" s="314" t="s">
        <v>264</v>
      </c>
      <c r="I161" s="304"/>
      <c r="J161" s="304"/>
      <c r="K161" s="304"/>
    </row>
    <row r="162" spans="2:11" s="16" customFormat="1" ht="14.25">
      <c r="B162" s="48" t="s">
        <v>230</v>
      </c>
      <c r="C162" s="49">
        <f t="shared" si="22"/>
        <v>1.1920616438356162</v>
      </c>
      <c r="D162" s="50">
        <f t="shared" si="23"/>
        <v>5.2212299999999994</v>
      </c>
      <c r="E162" s="321">
        <f>3.22*(1+'Key Inputs'!$G$2)</f>
        <v>3.7029999999999998</v>
      </c>
      <c r="F162" s="52" t="s">
        <v>39</v>
      </c>
      <c r="G162" s="314" t="s">
        <v>264</v>
      </c>
      <c r="I162" s="304"/>
      <c r="J162" s="304"/>
      <c r="K162" s="304"/>
    </row>
    <row r="163" spans="2:11" s="160" customFormat="1" ht="15" customHeight="1">
      <c r="B163" s="48" t="s">
        <v>227</v>
      </c>
      <c r="C163" s="49">
        <f t="shared" si="22"/>
        <v>1.2031678082191779</v>
      </c>
      <c r="D163" s="50">
        <f t="shared" si="23"/>
        <v>5.2698749999999999</v>
      </c>
      <c r="E163" s="321">
        <f>3.25*(1+'Key Inputs'!$G$2)</f>
        <v>3.7374999999999998</v>
      </c>
      <c r="F163" s="52" t="s">
        <v>39</v>
      </c>
      <c r="G163" s="314" t="s">
        <v>265</v>
      </c>
      <c r="I163" s="310"/>
      <c r="J163" s="310"/>
      <c r="K163" s="310"/>
    </row>
    <row r="164" spans="2:11" s="16" customFormat="1" ht="14.25">
      <c r="B164" s="48" t="s">
        <v>148</v>
      </c>
      <c r="C164" s="49">
        <f t="shared" si="22"/>
        <v>29.616438356164384</v>
      </c>
      <c r="D164" s="50">
        <f t="shared" si="23"/>
        <v>129.72</v>
      </c>
      <c r="E164" s="322">
        <f>80*(1+'Key Inputs'!$G$2)</f>
        <v>92</v>
      </c>
      <c r="F164" s="52" t="s">
        <v>39</v>
      </c>
      <c r="G164" s="314" t="s">
        <v>264</v>
      </c>
      <c r="I164" s="304"/>
      <c r="J164" s="304"/>
      <c r="K164" s="304"/>
    </row>
    <row r="165" spans="2:11" s="16" customFormat="1">
      <c r="B165" s="48" t="s">
        <v>65</v>
      </c>
      <c r="C165" s="49">
        <f t="shared" si="22"/>
        <v>0.44424657534246575</v>
      </c>
      <c r="D165" s="50">
        <f t="shared" si="23"/>
        <v>1.9458</v>
      </c>
      <c r="E165" s="321">
        <f>1.2*(1+'Key Inputs'!$G$2)</f>
        <v>1.38</v>
      </c>
      <c r="F165" s="52" t="s">
        <v>39</v>
      </c>
      <c r="G165" s="314" t="s">
        <v>264</v>
      </c>
      <c r="I165" s="304"/>
      <c r="J165" s="304"/>
      <c r="K165" s="304"/>
    </row>
    <row r="166" spans="2:11" s="16" customFormat="1" ht="14.25">
      <c r="B166" s="48" t="s">
        <v>149</v>
      </c>
      <c r="C166" s="49">
        <f t="shared" si="22"/>
        <v>30.298146686220786</v>
      </c>
      <c r="D166" s="50">
        <f t="shared" si="23"/>
        <v>132.70588248564704</v>
      </c>
      <c r="E166" s="51">
        <f>(35*0.000142857143)*10000*(64/34)</f>
        <v>94.117647152941174</v>
      </c>
      <c r="F166" s="52" t="s">
        <v>39</v>
      </c>
      <c r="G166" s="301" t="s">
        <v>271</v>
      </c>
      <c r="I166" s="304"/>
      <c r="J166" s="304"/>
      <c r="K166" s="304"/>
    </row>
    <row r="167" spans="2:11" s="16" customFormat="1">
      <c r="B167" s="48" t="s">
        <v>40</v>
      </c>
      <c r="C167" s="49">
        <f t="shared" si="22"/>
        <v>6.8117808219178073</v>
      </c>
      <c r="D167" s="50">
        <f t="shared" si="23"/>
        <v>29.835599999999996</v>
      </c>
      <c r="E167" s="321">
        <f>18.4*(1+'Key Inputs'!$G$2)</f>
        <v>21.159999999999997</v>
      </c>
      <c r="F167" s="52" t="s">
        <v>39</v>
      </c>
      <c r="G167" s="314" t="s">
        <v>264</v>
      </c>
      <c r="I167" s="304"/>
      <c r="J167" s="304"/>
      <c r="K167" s="304"/>
    </row>
    <row r="168" spans="2:11" s="16" customFormat="1" ht="6" customHeight="1">
      <c r="B168" s="48"/>
      <c r="C168" s="53"/>
      <c r="D168" s="54"/>
      <c r="E168" s="55"/>
      <c r="F168" s="46"/>
      <c r="G168" s="300"/>
      <c r="I168" s="304"/>
      <c r="J168" s="304"/>
      <c r="K168" s="304"/>
    </row>
    <row r="169" spans="2:11" s="16" customFormat="1">
      <c r="B169" s="43" t="s">
        <v>41</v>
      </c>
      <c r="C169" s="44"/>
      <c r="D169" s="54"/>
      <c r="E169" s="56"/>
      <c r="F169" s="57"/>
      <c r="G169" s="300"/>
      <c r="I169" s="304"/>
      <c r="J169" s="304"/>
      <c r="K169" s="304"/>
    </row>
    <row r="170" spans="2:11" s="16" customFormat="1">
      <c r="B170" s="58" t="s">
        <v>42</v>
      </c>
      <c r="C170" s="59"/>
      <c r="D170" s="54"/>
      <c r="E170" s="50"/>
      <c r="F170" s="60"/>
      <c r="G170" s="300"/>
      <c r="I170" s="304"/>
      <c r="J170" s="304"/>
      <c r="K170" s="304"/>
    </row>
    <row r="171" spans="2:11" s="16" customFormat="1">
      <c r="B171" s="61" t="s">
        <v>43</v>
      </c>
      <c r="C171" s="62">
        <f t="shared" ref="C171:C177" si="24">D171/$C$12*2000</f>
        <v>8.4406849315068495E-3</v>
      </c>
      <c r="D171" s="63">
        <f>E171*$C$18/2000</f>
        <v>3.6970200000000002E-2</v>
      </c>
      <c r="E171" s="326">
        <f>1.9%*E165</f>
        <v>2.6219999999999997E-2</v>
      </c>
      <c r="F171" s="46" t="s">
        <v>39</v>
      </c>
      <c r="G171" s="300" t="s">
        <v>266</v>
      </c>
      <c r="I171" s="304"/>
      <c r="J171" s="304"/>
      <c r="K171" s="304"/>
    </row>
    <row r="172" spans="2:11" s="16" customFormat="1">
      <c r="B172" s="61"/>
      <c r="C172" s="62"/>
      <c r="D172" s="63"/>
      <c r="E172" s="63"/>
      <c r="F172" s="46"/>
      <c r="G172" s="300"/>
      <c r="I172" s="304"/>
      <c r="J172" s="304"/>
      <c r="K172" s="304"/>
    </row>
    <row r="173" spans="2:11" s="16" customFormat="1">
      <c r="B173" s="58" t="s">
        <v>261</v>
      </c>
      <c r="C173" s="62"/>
      <c r="D173" s="63"/>
      <c r="E173" s="63"/>
      <c r="F173" s="46"/>
      <c r="G173" s="300"/>
      <c r="I173" s="304"/>
      <c r="J173" s="304"/>
      <c r="K173" s="304"/>
    </row>
    <row r="174" spans="2:11" s="16" customFormat="1">
      <c r="B174" s="61" t="s">
        <v>267</v>
      </c>
      <c r="C174" s="49">
        <f t="shared" ref="C174" si="25">D174/$C$12*2000</f>
        <v>1.467945205479452</v>
      </c>
      <c r="D174" s="89">
        <f>E174*$C$18/2000</f>
        <v>6.4295999999999998</v>
      </c>
      <c r="E174" s="89">
        <v>4.5599999999999996</v>
      </c>
      <c r="F174" s="46" t="s">
        <v>39</v>
      </c>
      <c r="G174" s="300" t="s">
        <v>270</v>
      </c>
      <c r="I174" s="304"/>
      <c r="J174" s="304"/>
      <c r="K174" s="304"/>
    </row>
    <row r="175" spans="2:11" s="16" customFormat="1" ht="14.25">
      <c r="B175" s="61" t="s">
        <v>268</v>
      </c>
      <c r="C175" s="62">
        <f t="shared" si="24"/>
        <v>1.0623287671232877E-2</v>
      </c>
      <c r="D175" s="63">
        <f>E175*$C$18/2000</f>
        <v>4.6530000000000002E-2</v>
      </c>
      <c r="E175" s="63">
        <v>3.3000000000000002E-2</v>
      </c>
      <c r="F175" s="46" t="s">
        <v>39</v>
      </c>
      <c r="G175" s="300" t="s">
        <v>270</v>
      </c>
      <c r="I175" s="304"/>
      <c r="J175" s="304"/>
      <c r="K175" s="304"/>
    </row>
    <row r="176" spans="2:11" s="16" customFormat="1">
      <c r="B176" s="61" t="s">
        <v>262</v>
      </c>
      <c r="C176" s="62">
        <f t="shared" si="24"/>
        <v>2.092465753424658E-2</v>
      </c>
      <c r="D176" s="63">
        <f t="shared" ref="D176:D177" si="26">E176*$C$18/2000</f>
        <v>9.1650000000000009E-2</v>
      </c>
      <c r="E176" s="63">
        <v>6.5000000000000002E-2</v>
      </c>
      <c r="F176" s="46" t="s">
        <v>39</v>
      </c>
      <c r="G176" s="300" t="s">
        <v>270</v>
      </c>
      <c r="I176" s="304"/>
      <c r="J176" s="304"/>
      <c r="K176" s="304"/>
    </row>
    <row r="177" spans="2:11" s="16" customFormat="1" ht="14.25">
      <c r="B177" s="61" t="s">
        <v>269</v>
      </c>
      <c r="C177" s="62">
        <f t="shared" si="24"/>
        <v>4.9897260273972607E-2</v>
      </c>
      <c r="D177" s="63">
        <f t="shared" si="26"/>
        <v>0.21855000000000002</v>
      </c>
      <c r="E177" s="63">
        <v>0.155</v>
      </c>
      <c r="F177" s="46" t="s">
        <v>39</v>
      </c>
      <c r="G177" s="300" t="s">
        <v>270</v>
      </c>
      <c r="I177" s="304"/>
      <c r="J177" s="304"/>
      <c r="K177" s="304"/>
    </row>
    <row r="178" spans="2:11" s="16" customFormat="1">
      <c r="B178" s="58"/>
      <c r="C178" s="64"/>
      <c r="D178" s="65"/>
      <c r="E178" s="50"/>
      <c r="F178" s="60"/>
      <c r="G178" s="300"/>
      <c r="I178" s="304"/>
      <c r="J178" s="304"/>
      <c r="K178" s="304"/>
    </row>
    <row r="179" spans="2:11" s="16" customFormat="1">
      <c r="B179" s="43" t="s">
        <v>44</v>
      </c>
      <c r="C179" s="44"/>
      <c r="D179" s="68"/>
      <c r="E179" s="69"/>
      <c r="F179" s="46"/>
      <c r="G179" s="300"/>
      <c r="I179" s="304"/>
      <c r="J179" s="304"/>
      <c r="K179" s="304"/>
    </row>
    <row r="180" spans="2:11" s="16" customFormat="1" ht="14.25">
      <c r="B180" s="70" t="s">
        <v>150</v>
      </c>
      <c r="C180" s="71">
        <f>D180/$C$12*2000</f>
        <v>17166.864604380055</v>
      </c>
      <c r="D180" s="72">
        <f>E180*'Key Inputs'!$D$45*$C$18/2000</f>
        <v>75190.866967184644</v>
      </c>
      <c r="E180" s="323">
        <f>CONVERT(46.85,"kg","lbm")</f>
        <v>103.28656983361515</v>
      </c>
      <c r="F180" s="52" t="s">
        <v>45</v>
      </c>
      <c r="G180" s="314" t="s">
        <v>280</v>
      </c>
      <c r="I180" s="304"/>
      <c r="J180" s="304"/>
      <c r="K180" s="304"/>
    </row>
    <row r="181" spans="2:11" s="16" customFormat="1" ht="14.25">
      <c r="B181" s="70" t="s">
        <v>151</v>
      </c>
      <c r="C181" s="49">
        <f>D181/$C$12*2000</f>
        <v>0.17588249754754381</v>
      </c>
      <c r="D181" s="72">
        <f>E181*'Key Inputs'!$D$45*$C$18/2000</f>
        <v>0.77036533925824191</v>
      </c>
      <c r="E181" s="324">
        <f>CONVERT(0.00048,"kg","lbm")</f>
        <v>1.0582188584874123E-3</v>
      </c>
      <c r="F181" s="52" t="s">
        <v>45</v>
      </c>
      <c r="G181" s="314" t="s">
        <v>281</v>
      </c>
      <c r="I181" s="304"/>
      <c r="J181" s="304"/>
      <c r="K181" s="304"/>
    </row>
    <row r="182" spans="2:11" s="16" customFormat="1" ht="14.25">
      <c r="B182" s="70" t="s">
        <v>152</v>
      </c>
      <c r="C182" s="49">
        <f>D182/$C$12*2000</f>
        <v>3.6642186989071616E-2</v>
      </c>
      <c r="D182" s="50">
        <f>E182*'Key Inputs'!$D$45*$C$18/2000</f>
        <v>0.16049277901213369</v>
      </c>
      <c r="E182" s="325">
        <f>CONVERT(0.0001,"kg","lbm")</f>
        <v>2.2046226218487756E-4</v>
      </c>
      <c r="F182" s="52" t="s">
        <v>45</v>
      </c>
      <c r="G182" s="314" t="s">
        <v>281</v>
      </c>
      <c r="I182" s="304"/>
      <c r="J182" s="304"/>
      <c r="K182" s="304"/>
    </row>
    <row r="183" spans="2:11" s="16" customFormat="1" ht="14.25">
      <c r="B183" s="70" t="s">
        <v>153</v>
      </c>
      <c r="C183" s="71">
        <f>D183/$C$12*2000</f>
        <v>17182.181038541486</v>
      </c>
      <c r="D183" s="73">
        <f>D180*'Key Inputs'!$C$62+D181*'Key Inputs'!$C$63+D182*'Key Inputs'!$C$64</f>
        <v>75257.952948811711</v>
      </c>
      <c r="E183" s="74" t="s">
        <v>46</v>
      </c>
      <c r="F183" s="75" t="s">
        <v>46</v>
      </c>
      <c r="G183" s="300" t="s">
        <v>47</v>
      </c>
      <c r="I183" s="304"/>
      <c r="J183" s="304"/>
      <c r="K183" s="304"/>
    </row>
    <row r="184" spans="2:11" s="18" customFormat="1" ht="6" customHeight="1" thickBot="1">
      <c r="B184" s="38"/>
      <c r="C184" s="76"/>
      <c r="D184" s="77"/>
      <c r="E184" s="78"/>
      <c r="F184" s="78"/>
      <c r="G184" s="299"/>
      <c r="I184" s="307"/>
      <c r="J184" s="307"/>
      <c r="K184" s="307"/>
    </row>
    <row r="186" spans="2:11" s="11" customFormat="1">
      <c r="B186" s="316" t="s">
        <v>576</v>
      </c>
      <c r="C186" s="316"/>
      <c r="D186" s="316"/>
      <c r="E186" s="317"/>
      <c r="F186" s="316"/>
      <c r="G186" s="318"/>
      <c r="I186" s="306"/>
      <c r="J186" s="306"/>
      <c r="K186" s="306"/>
    </row>
    <row r="187" spans="2:11" s="18" customFormat="1" ht="6" customHeight="1" thickBot="1">
      <c r="D187" s="27"/>
      <c r="E187" s="25"/>
      <c r="F187" s="25"/>
      <c r="G187" s="21"/>
      <c r="I187" s="307"/>
      <c r="J187" s="307"/>
      <c r="K187" s="307"/>
    </row>
    <row r="188" spans="2:11" s="18" customFormat="1" ht="6" customHeight="1">
      <c r="B188" s="28"/>
      <c r="C188" s="29"/>
      <c r="D188" s="30"/>
      <c r="E188" s="31"/>
      <c r="F188" s="31"/>
      <c r="G188" s="298"/>
      <c r="I188" s="307"/>
      <c r="J188" s="307"/>
      <c r="K188" s="307"/>
    </row>
    <row r="189" spans="2:11" s="37" customFormat="1" ht="38.25">
      <c r="B189" s="33" t="s">
        <v>32</v>
      </c>
      <c r="C189" s="34" t="s">
        <v>140</v>
      </c>
      <c r="D189" s="34" t="s">
        <v>141</v>
      </c>
      <c r="E189" s="34" t="s">
        <v>139</v>
      </c>
      <c r="F189" s="34" t="s">
        <v>35</v>
      </c>
      <c r="G189" s="35" t="s">
        <v>36</v>
      </c>
      <c r="I189" s="545"/>
      <c r="J189" s="545"/>
      <c r="K189" s="545"/>
    </row>
    <row r="190" spans="2:11" s="18" customFormat="1" ht="6" customHeight="1" thickBot="1">
      <c r="B190" s="38"/>
      <c r="C190" s="39"/>
      <c r="D190" s="40"/>
      <c r="E190" s="41"/>
      <c r="F190" s="41"/>
      <c r="G190" s="299"/>
      <c r="I190" s="307"/>
      <c r="J190" s="307"/>
      <c r="K190" s="307"/>
    </row>
    <row r="191" spans="2:11" s="18" customFormat="1" ht="6" customHeight="1">
      <c r="B191" s="28"/>
      <c r="C191" s="29"/>
      <c r="D191" s="30"/>
      <c r="E191" s="31"/>
      <c r="F191" s="31"/>
      <c r="G191" s="298"/>
      <c r="I191" s="307"/>
      <c r="J191" s="307"/>
      <c r="K191" s="307"/>
    </row>
    <row r="192" spans="2:11" s="16" customFormat="1">
      <c r="B192" s="43" t="s">
        <v>37</v>
      </c>
      <c r="C192" s="44"/>
      <c r="D192" s="45"/>
      <c r="E192" s="46"/>
      <c r="F192" s="46"/>
      <c r="G192" s="300"/>
      <c r="I192" s="304"/>
      <c r="J192" s="304"/>
      <c r="K192" s="304"/>
    </row>
    <row r="193" spans="2:11" s="16" customFormat="1">
      <c r="B193" s="48" t="s">
        <v>228</v>
      </c>
      <c r="C193" s="49">
        <f t="shared" ref="C193:C200" si="27">D193/$C$12*2000</f>
        <v>8.4403522139267273E-2</v>
      </c>
      <c r="D193" s="50">
        <f>E193*$C$19/2000</f>
        <v>0.36968742696999063</v>
      </c>
      <c r="E193" s="321">
        <f>6.2*(1+'Key Inputs'!$G$2)</f>
        <v>7.13</v>
      </c>
      <c r="F193" s="52" t="s">
        <v>39</v>
      </c>
      <c r="G193" s="314" t="s">
        <v>264</v>
      </c>
      <c r="I193" s="304"/>
      <c r="J193" s="304"/>
      <c r="K193" s="304"/>
    </row>
    <row r="194" spans="2:11" s="16" customFormat="1" ht="14.25">
      <c r="B194" s="48" t="s">
        <v>229</v>
      </c>
      <c r="C194" s="49">
        <f t="shared" si="27"/>
        <v>5.9218600210614931E-2</v>
      </c>
      <c r="D194" s="50">
        <f t="shared" ref="D194:D200" si="28">E194*$C$19/2000</f>
        <v>0.25937746892249341</v>
      </c>
      <c r="E194" s="321">
        <f>4.35*(1+'Key Inputs'!$G$2)</f>
        <v>5.0024999999999995</v>
      </c>
      <c r="F194" s="52" t="s">
        <v>39</v>
      </c>
      <c r="G194" s="314" t="s">
        <v>264</v>
      </c>
      <c r="I194" s="304"/>
      <c r="J194" s="304"/>
      <c r="K194" s="304"/>
    </row>
    <row r="195" spans="2:11" s="16" customFormat="1" ht="14.25">
      <c r="B195" s="48" t="s">
        <v>230</v>
      </c>
      <c r="C195" s="49">
        <f t="shared" si="27"/>
        <v>4.383537762716784E-2</v>
      </c>
      <c r="D195" s="50">
        <f t="shared" si="28"/>
        <v>0.19199895400699513</v>
      </c>
      <c r="E195" s="321">
        <f>3.22*(1+'Key Inputs'!$G$2)</f>
        <v>3.7029999999999998</v>
      </c>
      <c r="F195" s="52" t="s">
        <v>39</v>
      </c>
      <c r="G195" s="314" t="s">
        <v>264</v>
      </c>
      <c r="I195" s="304"/>
      <c r="J195" s="304"/>
      <c r="K195" s="304"/>
    </row>
    <row r="196" spans="2:11" s="160" customFormat="1" ht="15" customHeight="1">
      <c r="B196" s="48" t="s">
        <v>227</v>
      </c>
      <c r="C196" s="49">
        <f t="shared" si="27"/>
        <v>4.4243781766551388E-2</v>
      </c>
      <c r="D196" s="50">
        <f t="shared" si="28"/>
        <v>0.19378776413749507</v>
      </c>
      <c r="E196" s="321">
        <f>3.25*(1+'Key Inputs'!$G$2)</f>
        <v>3.7374999999999998</v>
      </c>
      <c r="F196" s="52" t="s">
        <v>39</v>
      </c>
      <c r="G196" s="314" t="s">
        <v>265</v>
      </c>
      <c r="I196" s="310"/>
      <c r="J196" s="310"/>
      <c r="K196" s="310"/>
    </row>
    <row r="197" spans="2:11" s="16" customFormat="1" ht="14.25">
      <c r="B197" s="48" t="s">
        <v>148</v>
      </c>
      <c r="C197" s="49">
        <f t="shared" si="27"/>
        <v>1.0890777050228033</v>
      </c>
      <c r="D197" s="50">
        <f t="shared" si="28"/>
        <v>4.7701603479998784</v>
      </c>
      <c r="E197" s="322">
        <f>80*(1+'Key Inputs'!$G$2)</f>
        <v>92</v>
      </c>
      <c r="F197" s="52" t="s">
        <v>39</v>
      </c>
      <c r="G197" s="314" t="s">
        <v>264</v>
      </c>
      <c r="I197" s="304"/>
      <c r="J197" s="304"/>
      <c r="K197" s="304"/>
    </row>
    <row r="198" spans="2:11" s="16" customFormat="1">
      <c r="B198" s="48" t="s">
        <v>65</v>
      </c>
      <c r="C198" s="49">
        <f t="shared" si="27"/>
        <v>1.6336165575342048E-2</v>
      </c>
      <c r="D198" s="50">
        <f t="shared" si="28"/>
        <v>7.1552405219998172E-2</v>
      </c>
      <c r="E198" s="321">
        <f>1.2*(1+'Key Inputs'!$G$2)</f>
        <v>1.38</v>
      </c>
      <c r="F198" s="52" t="s">
        <v>39</v>
      </c>
      <c r="G198" s="314" t="s">
        <v>264</v>
      </c>
      <c r="I198" s="304"/>
      <c r="J198" s="304"/>
      <c r="K198" s="304"/>
    </row>
    <row r="199" spans="2:11" s="16" customFormat="1" ht="14.25">
      <c r="B199" s="48" t="s">
        <v>149</v>
      </c>
      <c r="C199" s="49">
        <v>1.69</v>
      </c>
      <c r="D199" s="50">
        <f>C199*C12/2000</f>
        <v>7.4021999999999997</v>
      </c>
      <c r="E199" s="332" t="s">
        <v>21</v>
      </c>
      <c r="F199" s="578" t="s">
        <v>21</v>
      </c>
      <c r="G199" s="301" t="s">
        <v>749</v>
      </c>
      <c r="I199" s="304"/>
      <c r="J199" s="304"/>
      <c r="K199" s="304"/>
    </row>
    <row r="200" spans="2:11" s="16" customFormat="1">
      <c r="B200" s="48" t="s">
        <v>40</v>
      </c>
      <c r="C200" s="49">
        <f t="shared" si="27"/>
        <v>0.25048787215524471</v>
      </c>
      <c r="D200" s="50">
        <f t="shared" si="28"/>
        <v>1.0971368800399719</v>
      </c>
      <c r="E200" s="321">
        <f>18.4*(1+'Key Inputs'!$G$2)</f>
        <v>21.159999999999997</v>
      </c>
      <c r="F200" s="52" t="s">
        <v>39</v>
      </c>
      <c r="G200" s="314" t="s">
        <v>264</v>
      </c>
      <c r="I200" s="304"/>
      <c r="J200" s="304"/>
      <c r="K200" s="304"/>
    </row>
    <row r="201" spans="2:11" s="16" customFormat="1" ht="6" customHeight="1">
      <c r="B201" s="48"/>
      <c r="C201" s="53"/>
      <c r="D201" s="54"/>
      <c r="E201" s="55"/>
      <c r="F201" s="46"/>
      <c r="G201" s="300"/>
      <c r="I201" s="304"/>
      <c r="J201" s="304"/>
      <c r="K201" s="304"/>
    </row>
    <row r="202" spans="2:11" s="16" customFormat="1">
      <c r="B202" s="43" t="s">
        <v>41</v>
      </c>
      <c r="C202" s="44"/>
      <c r="D202" s="54"/>
      <c r="E202" s="56"/>
      <c r="F202" s="57"/>
      <c r="G202" s="300"/>
      <c r="I202" s="304"/>
      <c r="J202" s="304"/>
      <c r="K202" s="304"/>
    </row>
    <row r="203" spans="2:11" s="16" customFormat="1">
      <c r="B203" s="58" t="s">
        <v>42</v>
      </c>
      <c r="C203" s="59"/>
      <c r="D203" s="54"/>
      <c r="E203" s="50"/>
      <c r="F203" s="60"/>
      <c r="G203" s="300"/>
      <c r="I203" s="304"/>
      <c r="J203" s="304"/>
      <c r="K203" s="304"/>
    </row>
    <row r="204" spans="2:11" s="16" customFormat="1">
      <c r="B204" s="61" t="s">
        <v>43</v>
      </c>
      <c r="C204" s="62">
        <f t="shared" ref="C204" si="29">D204/$C$12*2000</f>
        <v>3.1038714593149889E-4</v>
      </c>
      <c r="D204" s="63">
        <f>E204*$C$19/2000</f>
        <v>1.3594956991799651E-3</v>
      </c>
      <c r="E204" s="326">
        <f>1.9%*E198</f>
        <v>2.6219999999999997E-2</v>
      </c>
      <c r="F204" s="46" t="s">
        <v>39</v>
      </c>
      <c r="G204" s="300" t="s">
        <v>266</v>
      </c>
      <c r="I204" s="304"/>
      <c r="J204" s="304"/>
      <c r="K204" s="304"/>
    </row>
    <row r="205" spans="2:11" s="16" customFormat="1">
      <c r="B205" s="61"/>
      <c r="C205" s="62"/>
      <c r="D205" s="63"/>
      <c r="E205" s="63"/>
      <c r="F205" s="46"/>
      <c r="G205" s="300"/>
      <c r="I205" s="304"/>
      <c r="J205" s="304"/>
      <c r="K205" s="304"/>
    </row>
    <row r="206" spans="2:11" s="16" customFormat="1">
      <c r="B206" s="58" t="s">
        <v>261</v>
      </c>
      <c r="C206" s="62"/>
      <c r="D206" s="63"/>
      <c r="E206" s="63"/>
      <c r="F206" s="46"/>
      <c r="G206" s="300"/>
      <c r="I206" s="304"/>
      <c r="J206" s="304"/>
      <c r="K206" s="304"/>
    </row>
    <row r="207" spans="2:11" s="16" customFormat="1">
      <c r="B207" s="61" t="s">
        <v>267</v>
      </c>
      <c r="C207" s="49">
        <f t="shared" ref="C207:C210" si="30">D207/$C$12*2000</f>
        <v>5.398037320547807E-2</v>
      </c>
      <c r="D207" s="89">
        <f>E207*$C$19/2000</f>
        <v>0.23643403463999396</v>
      </c>
      <c r="E207" s="89">
        <v>4.5599999999999996</v>
      </c>
      <c r="F207" s="46" t="s">
        <v>39</v>
      </c>
      <c r="G207" s="300" t="s">
        <v>270</v>
      </c>
      <c r="I207" s="304"/>
      <c r="J207" s="304"/>
      <c r="K207" s="304"/>
    </row>
    <row r="208" spans="2:11" s="16" customFormat="1" ht="14.25">
      <c r="B208" s="61" t="s">
        <v>268</v>
      </c>
      <c r="C208" s="62">
        <f t="shared" si="30"/>
        <v>3.9064743767122293E-4</v>
      </c>
      <c r="D208" s="89">
        <f t="shared" ref="D208:D210" si="31">E208*$C$19/2000</f>
        <v>1.7110357769999564E-3</v>
      </c>
      <c r="E208" s="63">
        <v>3.3000000000000002E-2</v>
      </c>
      <c r="F208" s="46" t="s">
        <v>39</v>
      </c>
      <c r="G208" s="300" t="s">
        <v>270</v>
      </c>
      <c r="I208" s="304"/>
      <c r="J208" s="304"/>
      <c r="K208" s="304"/>
    </row>
    <row r="209" spans="2:11" s="16" customFormat="1">
      <c r="B209" s="61" t="s">
        <v>262</v>
      </c>
      <c r="C209" s="62">
        <f t="shared" si="30"/>
        <v>7.6945707420089367E-4</v>
      </c>
      <c r="D209" s="89">
        <f t="shared" si="31"/>
        <v>3.3702219849999146E-3</v>
      </c>
      <c r="E209" s="63">
        <v>6.5000000000000002E-2</v>
      </c>
      <c r="F209" s="46" t="s">
        <v>39</v>
      </c>
      <c r="G209" s="300" t="s">
        <v>270</v>
      </c>
      <c r="I209" s="304"/>
      <c r="J209" s="304"/>
      <c r="K209" s="304"/>
    </row>
    <row r="210" spans="2:11" s="16" customFormat="1" ht="14.25">
      <c r="B210" s="61" t="s">
        <v>269</v>
      </c>
      <c r="C210" s="62">
        <f t="shared" si="30"/>
        <v>1.8348591769405925E-3</v>
      </c>
      <c r="D210" s="89">
        <f t="shared" si="31"/>
        <v>8.0366831949997952E-3</v>
      </c>
      <c r="E210" s="63">
        <v>0.155</v>
      </c>
      <c r="F210" s="46" t="s">
        <v>39</v>
      </c>
      <c r="G210" s="300" t="s">
        <v>270</v>
      </c>
      <c r="I210" s="304"/>
      <c r="J210" s="304"/>
      <c r="K210" s="304"/>
    </row>
    <row r="211" spans="2:11" s="16" customFormat="1">
      <c r="B211" s="58"/>
      <c r="C211" s="64"/>
      <c r="D211" s="65"/>
      <c r="E211" s="50"/>
      <c r="F211" s="60"/>
      <c r="G211" s="300"/>
      <c r="I211" s="304"/>
      <c r="J211" s="304"/>
      <c r="K211" s="304"/>
    </row>
    <row r="212" spans="2:11" s="16" customFormat="1">
      <c r="B212" s="43" t="s">
        <v>44</v>
      </c>
      <c r="C212" s="44"/>
      <c r="D212" s="68"/>
      <c r="E212" s="69"/>
      <c r="F212" s="46"/>
      <c r="G212" s="300"/>
      <c r="I212" s="304"/>
      <c r="J212" s="304"/>
      <c r="K212" s="304"/>
    </row>
    <row r="213" spans="2:11" s="16" customFormat="1" ht="14.25">
      <c r="B213" s="70" t="s">
        <v>150</v>
      </c>
      <c r="C213" s="71">
        <f>D213/$C$12*2000</f>
        <v>631.27271689250972</v>
      </c>
      <c r="D213" s="72">
        <f>E213*'Key Inputs'!$D$45*$C$19/2000</f>
        <v>2764.9744999891927</v>
      </c>
      <c r="E213" s="323">
        <f>CONVERT(46.85,"kg","lbm")</f>
        <v>103.28656983361515</v>
      </c>
      <c r="F213" s="52" t="s">
        <v>45</v>
      </c>
      <c r="G213" s="314" t="s">
        <v>280</v>
      </c>
      <c r="I213" s="304"/>
      <c r="J213" s="304"/>
      <c r="K213" s="304"/>
    </row>
    <row r="214" spans="2:11" s="16" customFormat="1" ht="14.25">
      <c r="B214" s="70" t="s">
        <v>151</v>
      </c>
      <c r="C214" s="49">
        <f>D214/$C$12*2000</f>
        <v>6.4676820514067172E-3</v>
      </c>
      <c r="D214" s="50">
        <f>E214*'Key Inputs'!$D$45*$C$19/2000</f>
        <v>2.8328447385161423E-2</v>
      </c>
      <c r="E214" s="324">
        <f>CONVERT(0.00048,"kg","lbm")</f>
        <v>1.0582188584874123E-3</v>
      </c>
      <c r="F214" s="52" t="s">
        <v>45</v>
      </c>
      <c r="G214" s="314" t="s">
        <v>281</v>
      </c>
      <c r="I214" s="304"/>
      <c r="J214" s="304"/>
      <c r="K214" s="304"/>
    </row>
    <row r="215" spans="2:11" s="16" customFormat="1" ht="14.25">
      <c r="B215" s="70" t="s">
        <v>152</v>
      </c>
      <c r="C215" s="49">
        <f>D215/$C$12*2000</f>
        <v>1.3474337607097325E-3</v>
      </c>
      <c r="D215" s="50">
        <f>E215*'Key Inputs'!$D$45*$C$19/2000</f>
        <v>5.901759871908629E-3</v>
      </c>
      <c r="E215" s="325">
        <f>CONVERT(0.0001,"kg","lbm")</f>
        <v>2.2046226218487756E-4</v>
      </c>
      <c r="F215" s="52" t="s">
        <v>45</v>
      </c>
      <c r="G215" s="314" t="s">
        <v>281</v>
      </c>
      <c r="I215" s="304"/>
      <c r="J215" s="304"/>
      <c r="K215" s="304"/>
    </row>
    <row r="216" spans="2:11" s="16" customFormat="1" ht="14.25">
      <c r="B216" s="70" t="s">
        <v>153</v>
      </c>
      <c r="C216" s="71">
        <f>D216/$C$12*2000</f>
        <v>631.8359442044864</v>
      </c>
      <c r="D216" s="73">
        <f>D213*'Key Inputs'!$C$62+D214*'Key Inputs'!$C$63+D215*'Key Inputs'!$C$64</f>
        <v>2767.4414356156503</v>
      </c>
      <c r="E216" s="74" t="s">
        <v>46</v>
      </c>
      <c r="F216" s="75" t="s">
        <v>46</v>
      </c>
      <c r="G216" s="300" t="s">
        <v>47</v>
      </c>
      <c r="I216" s="304"/>
      <c r="J216" s="304"/>
      <c r="K216" s="304"/>
    </row>
    <row r="217" spans="2:11" s="18" customFormat="1" ht="6" customHeight="1" thickBot="1">
      <c r="B217" s="38"/>
      <c r="C217" s="76"/>
      <c r="D217" s="77"/>
      <c r="E217" s="78"/>
      <c r="F217" s="78"/>
      <c r="G217" s="299"/>
      <c r="I217" s="307"/>
      <c r="J217" s="307"/>
      <c r="K217" s="307"/>
    </row>
  </sheetData>
  <mergeCells count="2">
    <mergeCell ref="I25:K25"/>
    <mergeCell ref="I58:K58"/>
  </mergeCells>
  <pageMargins left="0.2" right="0.2" top="0.25" bottom="0.25" header="0.05" footer="0.05"/>
  <pageSetup scale="65" orientation="portrait" horizontalDpi="1200" verticalDpi="1200" r:id="rId1"/>
  <rowBreaks count="2" manualBreakCount="2">
    <brk id="86" max="6" man="1"/>
    <brk id="15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2317F-9D84-4088-92A2-70A0843240D1}">
  <dimension ref="B1:L160"/>
  <sheetViews>
    <sheetView topLeftCell="A139" zoomScale="110" zoomScaleNormal="110" zoomScaleSheetLayoutView="100" workbookViewId="0">
      <selection activeCell="E82" sqref="E82"/>
    </sheetView>
  </sheetViews>
  <sheetFormatPr defaultColWidth="9.140625" defaultRowHeight="12.75"/>
  <cols>
    <col min="1" max="1" width="2.42578125" style="1" customWidth="1"/>
    <col min="2" max="2" width="39.85546875" style="1" customWidth="1"/>
    <col min="3" max="3" width="11.7109375" style="1" customWidth="1"/>
    <col min="4" max="4" width="10.85546875" style="1" customWidth="1"/>
    <col min="5" max="5" width="12.140625" style="1" customWidth="1"/>
    <col min="6" max="6" width="10.28515625" style="1" bestFit="1" customWidth="1"/>
    <col min="7" max="7" width="62.28515625" style="2" customWidth="1"/>
    <col min="8" max="8" width="9.140625" style="1"/>
    <col min="9" max="11" width="9.140625" style="304"/>
    <col min="12" max="16384" width="9.140625" style="1"/>
  </cols>
  <sheetData>
    <row r="1" spans="2:11" ht="11.25" customHeight="1"/>
    <row r="2" spans="2:11" s="6" customFormat="1">
      <c r="B2" s="5" t="str">
        <f>'Key Inputs'!B2</f>
        <v>Company Name:</v>
      </c>
      <c r="C2" s="279" t="str">
        <f>'Key Inputs'!C2</f>
        <v>U. S. Steel Corp.</v>
      </c>
      <c r="F2" s="5"/>
      <c r="G2" s="7"/>
      <c r="I2" s="305"/>
      <c r="J2" s="305"/>
      <c r="K2" s="305"/>
    </row>
    <row r="3" spans="2:11" s="6" customFormat="1">
      <c r="B3" s="5" t="str">
        <f>'Key Inputs'!B3</f>
        <v>Site Name:</v>
      </c>
      <c r="C3" s="279" t="str">
        <f>'Key Inputs'!C3</f>
        <v>Edgar Thomson Plant</v>
      </c>
      <c r="F3" s="5"/>
      <c r="G3" s="7"/>
      <c r="I3" s="305"/>
      <c r="J3" s="305"/>
      <c r="K3" s="305"/>
    </row>
    <row r="4" spans="2:11" s="6" customFormat="1">
      <c r="B4" s="5" t="str">
        <f>'Key Inputs'!B4</f>
        <v>Description:</v>
      </c>
      <c r="C4" s="279" t="str">
        <f>'Key Inputs'!C4</f>
        <v>Title V Permit Renewal</v>
      </c>
      <c r="F4" s="5"/>
      <c r="G4" s="7"/>
      <c r="I4" s="305"/>
      <c r="J4" s="305"/>
      <c r="K4" s="305"/>
    </row>
    <row r="5" spans="2:11" s="6" customFormat="1">
      <c r="B5" s="5" t="str">
        <f>'Key Inputs'!B5</f>
        <v>Date:</v>
      </c>
      <c r="C5" s="281" t="str">
        <f>'Key Inputs'!C5</f>
        <v>10/7/2020 - DRAFT</v>
      </c>
      <c r="F5" s="5"/>
      <c r="G5" s="7"/>
      <c r="I5" s="305"/>
      <c r="J5" s="305"/>
      <c r="K5" s="305"/>
    </row>
    <row r="6" spans="2:11" s="6" customFormat="1">
      <c r="B6" s="5"/>
      <c r="C6" s="5"/>
      <c r="D6" s="5"/>
      <c r="F6" s="5"/>
      <c r="G6" s="7"/>
      <c r="I6" s="305"/>
      <c r="J6" s="305"/>
      <c r="K6" s="305"/>
    </row>
    <row r="7" spans="2:11" s="11" customFormat="1">
      <c r="B7" s="10" t="s">
        <v>290</v>
      </c>
      <c r="C7" s="10"/>
      <c r="D7" s="10"/>
      <c r="F7" s="10"/>
      <c r="G7" s="12"/>
      <c r="I7" s="306"/>
      <c r="J7" s="306"/>
      <c r="K7" s="306"/>
    </row>
    <row r="8" spans="2:11" s="16" customFormat="1">
      <c r="B8" s="14"/>
      <c r="C8" s="15"/>
      <c r="G8" s="17"/>
      <c r="I8" s="304"/>
      <c r="J8" s="304"/>
      <c r="K8" s="304"/>
    </row>
    <row r="9" spans="2:11" s="18" customFormat="1">
      <c r="B9" s="19" t="s">
        <v>25</v>
      </c>
      <c r="C9" s="20" t="s">
        <v>187</v>
      </c>
      <c r="D9" s="19"/>
      <c r="G9" s="21"/>
      <c r="I9" s="307"/>
      <c r="J9" s="307"/>
      <c r="K9" s="307"/>
    </row>
    <row r="10" spans="2:11" s="18" customFormat="1">
      <c r="B10" s="19" t="s">
        <v>56</v>
      </c>
      <c r="C10" s="23" t="s">
        <v>186</v>
      </c>
      <c r="D10" s="19"/>
      <c r="G10" s="21"/>
      <c r="I10" s="307"/>
      <c r="J10" s="307"/>
      <c r="K10" s="307"/>
    </row>
    <row r="11" spans="2:11" s="18" customFormat="1">
      <c r="B11" s="19" t="s">
        <v>291</v>
      </c>
      <c r="C11" s="23" t="s">
        <v>295</v>
      </c>
      <c r="D11" s="19"/>
      <c r="G11" s="21"/>
      <c r="I11" s="307"/>
      <c r="J11" s="307"/>
      <c r="K11" s="307"/>
    </row>
    <row r="12" spans="2:11" s="18" customFormat="1">
      <c r="B12" s="19" t="s">
        <v>26</v>
      </c>
      <c r="C12" s="24">
        <f>'Key Inputs'!$G$20</f>
        <v>8760</v>
      </c>
      <c r="D12" s="21" t="s">
        <v>10</v>
      </c>
      <c r="G12" s="20"/>
      <c r="I12" s="307"/>
      <c r="J12" s="307"/>
      <c r="K12" s="307"/>
    </row>
    <row r="13" spans="2:11" s="18" customFormat="1">
      <c r="B13" s="19" t="s">
        <v>14</v>
      </c>
      <c r="C13" s="79" t="s">
        <v>27</v>
      </c>
      <c r="D13" s="21"/>
      <c r="G13" s="20"/>
      <c r="I13" s="307"/>
      <c r="J13" s="307"/>
      <c r="K13" s="307"/>
    </row>
    <row r="14" spans="2:11" s="18" customFormat="1">
      <c r="B14" s="19" t="s">
        <v>277</v>
      </c>
      <c r="C14" s="79">
        <v>495</v>
      </c>
      <c r="D14" s="21" t="s">
        <v>100</v>
      </c>
      <c r="G14" s="20"/>
      <c r="I14" s="307"/>
      <c r="J14" s="307"/>
      <c r="K14" s="307"/>
    </row>
    <row r="15" spans="2:11" s="18" customFormat="1">
      <c r="B15" s="19" t="s">
        <v>252</v>
      </c>
      <c r="C15" s="184">
        <f>$C$14/'Key Inputs'!D43*$C$12</f>
        <v>4094.6175637393767</v>
      </c>
      <c r="D15" s="21" t="s">
        <v>31</v>
      </c>
      <c r="G15" s="20"/>
      <c r="I15" s="307" t="s">
        <v>255</v>
      </c>
      <c r="J15" s="307"/>
      <c r="K15" s="307"/>
    </row>
    <row r="16" spans="2:11" s="18" customFormat="1">
      <c r="B16" s="19" t="s">
        <v>253</v>
      </c>
      <c r="C16" s="184">
        <f>$C$14/'Key Inputs'!D45*$C$12</f>
        <v>8398.6054619407332</v>
      </c>
      <c r="D16" s="21" t="s">
        <v>31</v>
      </c>
      <c r="G16" s="20"/>
      <c r="I16" s="307" t="s">
        <v>255</v>
      </c>
      <c r="J16" s="307"/>
      <c r="K16" s="307"/>
    </row>
    <row r="17" spans="2:12" s="18" customFormat="1">
      <c r="B17" s="19" t="s">
        <v>276</v>
      </c>
      <c r="C17" s="184">
        <f>$C$14/'Key Inputs'!D44*$C$12</f>
        <v>48180</v>
      </c>
      <c r="D17" s="21" t="s">
        <v>31</v>
      </c>
      <c r="G17" s="20"/>
      <c r="I17" s="307" t="s">
        <v>255</v>
      </c>
      <c r="J17" s="307"/>
      <c r="K17" s="307"/>
    </row>
    <row r="18" spans="2:12" s="18" customFormat="1">
      <c r="B18" s="19"/>
      <c r="C18" s="184"/>
      <c r="D18" s="21"/>
      <c r="G18" s="20"/>
      <c r="I18" s="307"/>
      <c r="J18" s="307"/>
      <c r="K18" s="307"/>
    </row>
    <row r="19" spans="2:12" s="11" customFormat="1">
      <c r="B19" s="329" t="s">
        <v>653</v>
      </c>
      <c r="C19" s="329"/>
      <c r="D19" s="329"/>
      <c r="E19" s="330"/>
      <c r="F19" s="329"/>
      <c r="G19" s="331"/>
      <c r="I19" s="306"/>
      <c r="J19" s="306"/>
      <c r="K19" s="306"/>
    </row>
    <row r="20" spans="2:12" s="18" customFormat="1" ht="6" customHeight="1" thickBot="1">
      <c r="D20" s="27"/>
      <c r="E20" s="25"/>
      <c r="F20" s="25"/>
      <c r="G20" s="21"/>
      <c r="I20" s="307"/>
      <c r="J20" s="307"/>
      <c r="K20" s="307"/>
    </row>
    <row r="21" spans="2:12" s="18" customFormat="1" ht="6" customHeight="1">
      <c r="B21" s="28"/>
      <c r="C21" s="29"/>
      <c r="D21" s="30"/>
      <c r="E21" s="31"/>
      <c r="F21" s="31"/>
      <c r="G21" s="298"/>
      <c r="I21" s="307"/>
      <c r="J21" s="307"/>
      <c r="K21" s="307"/>
    </row>
    <row r="22" spans="2:12" s="37" customFormat="1" ht="38.25">
      <c r="B22" s="33" t="s">
        <v>32</v>
      </c>
      <c r="C22" s="34" t="s">
        <v>140</v>
      </c>
      <c r="D22" s="34" t="s">
        <v>141</v>
      </c>
      <c r="E22" s="34" t="s">
        <v>139</v>
      </c>
      <c r="F22" s="34" t="s">
        <v>35</v>
      </c>
      <c r="G22" s="35" t="s">
        <v>36</v>
      </c>
      <c r="I22" s="787"/>
      <c r="J22" s="787"/>
      <c r="K22" s="787"/>
    </row>
    <row r="23" spans="2:12" s="18" customFormat="1" ht="6" customHeight="1" thickBot="1">
      <c r="B23" s="38"/>
      <c r="C23" s="39"/>
      <c r="D23" s="40"/>
      <c r="E23" s="41"/>
      <c r="F23" s="41"/>
      <c r="G23" s="299"/>
      <c r="I23" s="307"/>
      <c r="J23" s="307"/>
      <c r="K23" s="307"/>
    </row>
    <row r="24" spans="2:12" s="18" customFormat="1" ht="6" customHeight="1">
      <c r="B24" s="28"/>
      <c r="C24" s="29"/>
      <c r="D24" s="30"/>
      <c r="E24" s="31"/>
      <c r="F24" s="31"/>
      <c r="G24" s="298"/>
      <c r="I24" s="307"/>
      <c r="J24" s="307"/>
      <c r="K24" s="307"/>
    </row>
    <row r="25" spans="2:12" s="16" customFormat="1">
      <c r="B25" s="43" t="s">
        <v>37</v>
      </c>
      <c r="C25" s="44"/>
      <c r="D25" s="45"/>
      <c r="E25" s="46"/>
      <c r="F25" s="46"/>
      <c r="G25" s="300"/>
      <c r="I25" s="309"/>
      <c r="J25" s="309"/>
      <c r="K25" s="309"/>
    </row>
    <row r="26" spans="2:12" s="16" customFormat="1">
      <c r="B26" s="48" t="s">
        <v>228</v>
      </c>
      <c r="C26" s="49">
        <v>24.75</v>
      </c>
      <c r="D26" s="50">
        <v>108.41</v>
      </c>
      <c r="E26" s="577" t="s">
        <v>21</v>
      </c>
      <c r="F26" s="578" t="s">
        <v>21</v>
      </c>
      <c r="G26" s="301" t="s">
        <v>654</v>
      </c>
      <c r="I26" s="310"/>
      <c r="J26" s="310"/>
      <c r="K26" s="310"/>
    </row>
    <row r="27" spans="2:12" s="16" customFormat="1" ht="14.25">
      <c r="B27" s="48" t="s">
        <v>229</v>
      </c>
      <c r="C27" s="49">
        <v>24.75</v>
      </c>
      <c r="D27" s="50">
        <v>108.41</v>
      </c>
      <c r="E27" s="577" t="s">
        <v>21</v>
      </c>
      <c r="F27" s="578" t="s">
        <v>21</v>
      </c>
      <c r="G27" s="301" t="s">
        <v>654</v>
      </c>
      <c r="I27" s="304"/>
      <c r="J27" s="304"/>
      <c r="K27" s="304"/>
    </row>
    <row r="28" spans="2:12" s="16" customFormat="1" ht="14.25">
      <c r="B28" s="48" t="s">
        <v>230</v>
      </c>
      <c r="C28" s="49">
        <v>24.75</v>
      </c>
      <c r="D28" s="50">
        <v>108.41</v>
      </c>
      <c r="E28" s="577" t="s">
        <v>21</v>
      </c>
      <c r="F28" s="578" t="s">
        <v>21</v>
      </c>
      <c r="G28" s="301" t="s">
        <v>654</v>
      </c>
      <c r="I28" s="304"/>
      <c r="J28" s="304"/>
      <c r="K28" s="304"/>
    </row>
    <row r="29" spans="2:12" s="160" customFormat="1" ht="15" customHeight="1">
      <c r="B29" s="48" t="s">
        <v>227</v>
      </c>
      <c r="C29" s="49">
        <f>E29</f>
        <v>3.2510499999999998</v>
      </c>
      <c r="D29" s="50">
        <f>C29*C12/2000</f>
        <v>14.239598999999998</v>
      </c>
      <c r="E29" s="163">
        <f>2.827*1.15</f>
        <v>3.2510499999999998</v>
      </c>
      <c r="F29" s="52" t="s">
        <v>115</v>
      </c>
      <c r="G29" s="314" t="s">
        <v>655</v>
      </c>
      <c r="I29" s="310"/>
      <c r="J29" s="310"/>
      <c r="K29" s="310"/>
      <c r="L29" s="310"/>
    </row>
    <row r="30" spans="2:12" s="16" customFormat="1" ht="14.25">
      <c r="B30" s="48" t="s">
        <v>148</v>
      </c>
      <c r="C30" s="49">
        <f>E30*$C$14</f>
        <v>7.0586999999999991</v>
      </c>
      <c r="D30" s="50">
        <f>C30*$C$12/2000</f>
        <v>30.917105999999997</v>
      </c>
      <c r="E30" s="80">
        <f>MAX('EF Dev Tests'!D25:D27)*1.15</f>
        <v>1.4259999999999998E-2</v>
      </c>
      <c r="F30" s="52" t="s">
        <v>45</v>
      </c>
      <c r="G30" s="301" t="s">
        <v>651</v>
      </c>
      <c r="I30" s="304"/>
      <c r="J30" s="304"/>
      <c r="K30" s="304"/>
    </row>
    <row r="31" spans="2:12" s="16" customFormat="1">
      <c r="B31" s="48" t="s">
        <v>65</v>
      </c>
      <c r="C31" s="49">
        <f>E31*$C$14</f>
        <v>3.2447249999999999</v>
      </c>
      <c r="D31" s="50">
        <f>C31*$C$12/2000</f>
        <v>14.211895499999999</v>
      </c>
      <c r="E31" s="80">
        <f>MAX('EF Dev Tests'!H25:H27)*1.15</f>
        <v>6.5550000000000001E-3</v>
      </c>
      <c r="F31" s="52" t="s">
        <v>45</v>
      </c>
      <c r="G31" s="301" t="s">
        <v>651</v>
      </c>
      <c r="I31" s="304"/>
      <c r="J31" s="304"/>
      <c r="K31" s="304"/>
    </row>
    <row r="32" spans="2:12" s="16" customFormat="1" ht="14.25">
      <c r="B32" s="48" t="s">
        <v>149</v>
      </c>
      <c r="C32" s="49">
        <v>90</v>
      </c>
      <c r="D32" s="50">
        <f>C32*C12/2000</f>
        <v>394.2</v>
      </c>
      <c r="E32" s="577" t="s">
        <v>21</v>
      </c>
      <c r="F32" s="578" t="s">
        <v>21</v>
      </c>
      <c r="G32" s="301" t="s">
        <v>748</v>
      </c>
      <c r="I32" s="304"/>
      <c r="J32" s="304"/>
      <c r="K32" s="304"/>
    </row>
    <row r="33" spans="2:11" s="16" customFormat="1">
      <c r="B33" s="48" t="s">
        <v>40</v>
      </c>
      <c r="C33" s="49">
        <f>E33*$C$14</f>
        <v>650.65274999999997</v>
      </c>
      <c r="D33" s="50">
        <f>C33*$C$12/2000</f>
        <v>2849.8590450000002</v>
      </c>
      <c r="E33" s="51">
        <f>MAX('EF Dev Tests'!G26:G27)*1.15</f>
        <v>1.3144499999999999</v>
      </c>
      <c r="F33" s="52" t="s">
        <v>45</v>
      </c>
      <c r="G33" s="301" t="s">
        <v>651</v>
      </c>
      <c r="I33" s="304"/>
      <c r="J33" s="304"/>
      <c r="K33" s="304"/>
    </row>
    <row r="34" spans="2:11" s="160" customFormat="1" ht="15" customHeight="1">
      <c r="B34" s="48" t="s">
        <v>267</v>
      </c>
      <c r="C34" s="49">
        <f>E34*$C$14</f>
        <v>0.74002499999999993</v>
      </c>
      <c r="D34" s="50">
        <f>C34*$C$12/2000</f>
        <v>3.2413094999999998</v>
      </c>
      <c r="E34" s="163">
        <f>MAX('EF Dev Tests'!B25:B27)*1.15</f>
        <v>1.4949999999999998E-3</v>
      </c>
      <c r="F34" s="52" t="s">
        <v>45</v>
      </c>
      <c r="G34" s="301" t="s">
        <v>651</v>
      </c>
      <c r="I34" s="310"/>
      <c r="J34" s="310"/>
      <c r="K34" s="310"/>
    </row>
    <row r="35" spans="2:11" s="16" customFormat="1">
      <c r="B35" s="48"/>
      <c r="C35" s="49"/>
      <c r="D35" s="50"/>
      <c r="E35" s="579"/>
      <c r="F35" s="52"/>
      <c r="G35" s="301"/>
      <c r="I35" s="304"/>
      <c r="J35" s="304"/>
      <c r="K35" s="304"/>
    </row>
    <row r="36" spans="2:11" s="16" customFormat="1">
      <c r="B36" s="43" t="s">
        <v>41</v>
      </c>
      <c r="C36" s="44"/>
      <c r="D36" s="54"/>
      <c r="E36" s="56"/>
      <c r="F36" s="57"/>
      <c r="G36" s="300"/>
      <c r="I36" s="304"/>
      <c r="J36" s="304"/>
      <c r="K36" s="304"/>
    </row>
    <row r="37" spans="2:11" s="16" customFormat="1">
      <c r="B37" s="58" t="s">
        <v>42</v>
      </c>
      <c r="C37" s="59"/>
      <c r="D37" s="54"/>
      <c r="E37" s="50"/>
      <c r="F37" s="60"/>
      <c r="G37" s="300"/>
      <c r="I37" s="304"/>
      <c r="J37" s="304"/>
      <c r="K37" s="304"/>
    </row>
    <row r="38" spans="2:11" s="16" customFormat="1">
      <c r="B38" s="61" t="s">
        <v>80</v>
      </c>
      <c r="C38" s="49">
        <f t="shared" ref="C38" si="0">D38/$C$12*2000</f>
        <v>0.96756373937677043</v>
      </c>
      <c r="D38" s="50">
        <f t="shared" ref="D38" si="1">E38*$C$15/2000</f>
        <v>4.2379291784702549</v>
      </c>
      <c r="E38" s="80">
        <f>E82</f>
        <v>2.0699999999999998</v>
      </c>
      <c r="F38" s="46" t="s">
        <v>39</v>
      </c>
      <c r="G38" s="300" t="s">
        <v>656</v>
      </c>
      <c r="I38" s="304"/>
      <c r="J38" s="304"/>
      <c r="K38" s="304"/>
    </row>
    <row r="39" spans="2:11" s="16" customFormat="1">
      <c r="B39" s="58"/>
      <c r="C39" s="64"/>
      <c r="D39" s="65"/>
      <c r="E39" s="50"/>
      <c r="F39" s="60"/>
      <c r="G39" s="300"/>
      <c r="I39" s="304"/>
      <c r="J39" s="304"/>
      <c r="K39" s="304"/>
    </row>
    <row r="40" spans="2:11" s="16" customFormat="1">
      <c r="B40" s="58" t="s">
        <v>261</v>
      </c>
      <c r="C40" s="64"/>
      <c r="D40" s="65"/>
      <c r="E40" s="50"/>
      <c r="F40" s="60"/>
      <c r="G40" s="300"/>
      <c r="I40" s="304"/>
      <c r="J40" s="304"/>
      <c r="K40" s="304"/>
    </row>
    <row r="41" spans="2:11" s="16" customFormat="1">
      <c r="B41" s="61" t="s">
        <v>267</v>
      </c>
      <c r="C41" s="49">
        <f t="shared" ref="C41:C43" si="2">D41/$C$12*2000</f>
        <v>4.3718768158047654</v>
      </c>
      <c r="D41" s="89">
        <f>E41*$C$16/2000</f>
        <v>19.148820453224872</v>
      </c>
      <c r="E41" s="89">
        <v>4.5599999999999996</v>
      </c>
      <c r="F41" s="46" t="s">
        <v>39</v>
      </c>
      <c r="G41" s="300" t="s">
        <v>656</v>
      </c>
      <c r="I41" s="304"/>
      <c r="J41" s="304"/>
      <c r="K41" s="304"/>
    </row>
    <row r="42" spans="2:11" s="16" customFormat="1" ht="14.25">
      <c r="B42" s="61" t="s">
        <v>268</v>
      </c>
      <c r="C42" s="62">
        <f t="shared" si="2"/>
        <v>3.1638582219639749E-2</v>
      </c>
      <c r="D42" s="63">
        <f>E42*$C$16/2000</f>
        <v>0.1385769901220221</v>
      </c>
      <c r="E42" s="63">
        <v>3.3000000000000002E-2</v>
      </c>
      <c r="F42" s="46" t="s">
        <v>39</v>
      </c>
      <c r="G42" s="300" t="s">
        <v>656</v>
      </c>
      <c r="I42" s="304"/>
      <c r="J42" s="304"/>
      <c r="K42" s="304"/>
    </row>
    <row r="43" spans="2:11" s="16" customFormat="1">
      <c r="B43" s="61" t="s">
        <v>262</v>
      </c>
      <c r="C43" s="62">
        <f t="shared" si="2"/>
        <v>6.2318419523532835E-2</v>
      </c>
      <c r="D43" s="63">
        <f t="shared" ref="D43" si="3">E43*$C$16/2000</f>
        <v>0.27295467751307384</v>
      </c>
      <c r="E43" s="63">
        <v>6.5000000000000002E-2</v>
      </c>
      <c r="F43" s="46" t="s">
        <v>39</v>
      </c>
      <c r="G43" s="300" t="s">
        <v>656</v>
      </c>
      <c r="I43" s="304"/>
      <c r="J43" s="304"/>
      <c r="K43" s="304"/>
    </row>
    <row r="44" spans="2:11" s="16" customFormat="1">
      <c r="B44" s="61" t="s">
        <v>272</v>
      </c>
      <c r="C44" s="50">
        <f>MAX(C90,C125)</f>
        <v>1.720113314447592</v>
      </c>
      <c r="D44" s="50">
        <f>MAX(D90,D125)</f>
        <v>7.5340963172804525</v>
      </c>
      <c r="E44" s="50">
        <f>MAX(E90,E125)</f>
        <v>3.6799999999999997</v>
      </c>
      <c r="F44" s="60" t="s">
        <v>39</v>
      </c>
      <c r="G44" s="300" t="s">
        <v>656</v>
      </c>
      <c r="I44" s="304"/>
      <c r="J44" s="304"/>
      <c r="K44" s="304"/>
    </row>
    <row r="45" spans="2:11" s="16" customFormat="1">
      <c r="B45" s="58"/>
      <c r="C45" s="64"/>
      <c r="D45" s="65"/>
      <c r="E45" s="50"/>
      <c r="F45" s="60"/>
      <c r="G45" s="300"/>
      <c r="I45" s="304"/>
      <c r="J45" s="304"/>
      <c r="K45" s="304"/>
    </row>
    <row r="46" spans="2:11" s="16" customFormat="1">
      <c r="B46" s="58" t="s">
        <v>86</v>
      </c>
      <c r="C46" s="64"/>
      <c r="D46" s="65"/>
      <c r="E46" s="50"/>
      <c r="F46" s="60"/>
      <c r="G46" s="300"/>
      <c r="I46" s="304"/>
      <c r="J46" s="304"/>
      <c r="K46" s="304"/>
    </row>
    <row r="47" spans="2:11" s="16" customFormat="1">
      <c r="B47" s="61" t="s">
        <v>91</v>
      </c>
      <c r="C47" s="63">
        <f t="shared" ref="C47:D47" si="4">C98</f>
        <v>2.6876770538243627E-4</v>
      </c>
      <c r="D47" s="63">
        <f t="shared" si="4"/>
        <v>1.1772025495750708E-3</v>
      </c>
      <c r="E47" s="63">
        <f>E98</f>
        <v>5.7499999999999999E-4</v>
      </c>
      <c r="F47" s="46" t="s">
        <v>39</v>
      </c>
      <c r="G47" s="300" t="s">
        <v>656</v>
      </c>
      <c r="I47" s="304"/>
      <c r="J47" s="304"/>
      <c r="K47" s="304"/>
    </row>
    <row r="48" spans="2:11" s="16" customFormat="1">
      <c r="B48" s="61" t="s">
        <v>92</v>
      </c>
      <c r="C48" s="63">
        <f t="shared" ref="C48:D48" si="5">C100</f>
        <v>1.3975920679886681E-4</v>
      </c>
      <c r="D48" s="63">
        <f t="shared" si="5"/>
        <v>6.121453257790367E-4</v>
      </c>
      <c r="E48" s="63">
        <f>E100</f>
        <v>2.9899999999999995E-4</v>
      </c>
      <c r="F48" s="46" t="s">
        <v>39</v>
      </c>
      <c r="G48" s="300" t="s">
        <v>656</v>
      </c>
      <c r="I48" s="304"/>
      <c r="J48" s="304"/>
      <c r="K48" s="304"/>
    </row>
    <row r="49" spans="2:11" s="16" customFormat="1">
      <c r="B49" s="66"/>
      <c r="C49" s="67"/>
      <c r="D49" s="68"/>
      <c r="E49" s="69"/>
      <c r="F49" s="46"/>
      <c r="G49" s="300"/>
      <c r="I49" s="304"/>
      <c r="J49" s="304"/>
      <c r="K49" s="304"/>
    </row>
    <row r="50" spans="2:11" s="16" customFormat="1">
      <c r="B50" s="43" t="s">
        <v>44</v>
      </c>
      <c r="C50" s="44"/>
      <c r="D50" s="68"/>
      <c r="E50" s="69"/>
      <c r="F50" s="46"/>
      <c r="G50" s="300"/>
      <c r="I50" s="304"/>
      <c r="J50" s="304"/>
      <c r="K50" s="304"/>
    </row>
    <row r="51" spans="2:11" s="16" customFormat="1" ht="14.25">
      <c r="B51" s="70" t="s">
        <v>150</v>
      </c>
      <c r="C51" s="71">
        <f>D51/$C$12*2000</f>
        <v>299362.17842465034</v>
      </c>
      <c r="D51" s="72">
        <f>E51*'Key Inputs'!$D$43*$C$15/2000</f>
        <v>1311206.3414999684</v>
      </c>
      <c r="E51" s="586">
        <f>MAX(E105,E128,E156)</f>
        <v>604.77207762555622</v>
      </c>
      <c r="F51" s="52" t="s">
        <v>45</v>
      </c>
      <c r="G51" s="314" t="s">
        <v>656</v>
      </c>
      <c r="I51" s="304"/>
      <c r="J51" s="304"/>
      <c r="K51" s="304"/>
    </row>
    <row r="52" spans="2:11" s="16" customFormat="1" ht="14.25">
      <c r="B52" s="70" t="s">
        <v>151</v>
      </c>
      <c r="C52" s="49">
        <f>D52/$C$12*2000</f>
        <v>1.0912881978151441</v>
      </c>
      <c r="D52" s="72">
        <f>E52*'Key Inputs'!$D$43*$C$15/2000</f>
        <v>4.7798423064303304</v>
      </c>
      <c r="E52" s="587">
        <f>MAX(E106,E129,E157)</f>
        <v>2.2046226218487759E-3</v>
      </c>
      <c r="F52" s="52" t="s">
        <v>45</v>
      </c>
      <c r="G52" s="314" t="s">
        <v>656</v>
      </c>
      <c r="I52" s="304"/>
      <c r="J52" s="304"/>
      <c r="K52" s="304"/>
    </row>
    <row r="53" spans="2:11" s="16" customFormat="1" ht="14.25">
      <c r="B53" s="70" t="s">
        <v>152</v>
      </c>
      <c r="C53" s="49">
        <f>D53/$C$12*2000</f>
        <v>0.10912881978151438</v>
      </c>
      <c r="D53" s="72">
        <f>E53*'Key Inputs'!$D$43*$C$15/2000</f>
        <v>0.47798423064303303</v>
      </c>
      <c r="E53" s="588">
        <f>MAX(E107,E130,E158)</f>
        <v>2.2046226218487756E-4</v>
      </c>
      <c r="F53" s="52" t="s">
        <v>45</v>
      </c>
      <c r="G53" s="314" t="s">
        <v>656</v>
      </c>
      <c r="I53" s="304"/>
      <c r="J53" s="304"/>
      <c r="K53" s="304"/>
    </row>
    <row r="54" spans="2:11" s="16" customFormat="1" ht="15" thickBot="1">
      <c r="B54" s="581" t="s">
        <v>153</v>
      </c>
      <c r="C54" s="582">
        <f>D54/$C$12*2000</f>
        <v>299421.98101789056</v>
      </c>
      <c r="D54" s="583">
        <f>D51*'Key Inputs'!$C$62+D52*'Key Inputs'!$C$63+D53*'Key Inputs'!$C$64</f>
        <v>1311468.2768583607</v>
      </c>
      <c r="E54" s="584" t="s">
        <v>46</v>
      </c>
      <c r="F54" s="585" t="s">
        <v>46</v>
      </c>
      <c r="G54" s="299" t="s">
        <v>47</v>
      </c>
      <c r="I54" s="304"/>
      <c r="J54" s="304"/>
      <c r="K54" s="304"/>
    </row>
    <row r="55" spans="2:11" s="16" customFormat="1">
      <c r="B55" s="580"/>
      <c r="C55" s="71"/>
      <c r="D55" s="73"/>
      <c r="E55" s="74"/>
      <c r="F55" s="75"/>
      <c r="G55" s="300"/>
      <c r="I55" s="304"/>
      <c r="J55" s="304"/>
      <c r="K55" s="304"/>
    </row>
    <row r="56" spans="2:11" s="11" customFormat="1" ht="15">
      <c r="B56" s="775" t="s">
        <v>251</v>
      </c>
      <c r="C56" s="329"/>
      <c r="D56" s="329"/>
      <c r="E56" s="330"/>
      <c r="F56" s="329"/>
      <c r="G56" s="331"/>
      <c r="I56" s="306"/>
      <c r="J56" s="306"/>
      <c r="K56" s="306"/>
    </row>
    <row r="57" spans="2:11" s="18" customFormat="1" ht="6" customHeight="1" thickBot="1">
      <c r="D57" s="27"/>
      <c r="E57" s="25"/>
      <c r="F57" s="25"/>
      <c r="G57" s="21"/>
      <c r="I57" s="307"/>
      <c r="J57" s="307"/>
      <c r="K57" s="307"/>
    </row>
    <row r="58" spans="2:11" s="18" customFormat="1" ht="6" customHeight="1">
      <c r="B58" s="28"/>
      <c r="C58" s="29"/>
      <c r="D58" s="30"/>
      <c r="E58" s="31"/>
      <c r="F58" s="31"/>
      <c r="G58" s="298"/>
      <c r="I58" s="307"/>
      <c r="J58" s="307"/>
      <c r="K58" s="307"/>
    </row>
    <row r="59" spans="2:11" s="37" customFormat="1" ht="38.25">
      <c r="B59" s="33" t="s">
        <v>32</v>
      </c>
      <c r="C59" s="34" t="s">
        <v>140</v>
      </c>
      <c r="D59" s="34" t="s">
        <v>141</v>
      </c>
      <c r="E59" s="34" t="s">
        <v>139</v>
      </c>
      <c r="F59" s="34" t="s">
        <v>35</v>
      </c>
      <c r="G59" s="35" t="s">
        <v>36</v>
      </c>
      <c r="I59" s="787"/>
      <c r="J59" s="787"/>
      <c r="K59" s="787"/>
    </row>
    <row r="60" spans="2:11" s="18" customFormat="1" ht="6" customHeight="1" thickBot="1">
      <c r="B60" s="38"/>
      <c r="C60" s="39"/>
      <c r="D60" s="40"/>
      <c r="E60" s="41"/>
      <c r="F60" s="41"/>
      <c r="G60" s="299"/>
      <c r="I60" s="307"/>
      <c r="J60" s="307"/>
      <c r="K60" s="307"/>
    </row>
    <row r="61" spans="2:11" s="18" customFormat="1" ht="6" customHeight="1">
      <c r="B61" s="28"/>
      <c r="C61" s="29"/>
      <c r="D61" s="30"/>
      <c r="E61" s="31"/>
      <c r="F61" s="31"/>
      <c r="G61" s="298"/>
      <c r="I61" s="307"/>
      <c r="J61" s="307"/>
      <c r="K61" s="307"/>
    </row>
    <row r="62" spans="2:11" s="16" customFormat="1">
      <c r="B62" s="43" t="s">
        <v>41</v>
      </c>
      <c r="C62" s="44"/>
      <c r="D62" s="54"/>
      <c r="E62" s="56"/>
      <c r="F62" s="57"/>
      <c r="G62" s="300"/>
      <c r="I62" s="304"/>
      <c r="J62" s="304"/>
      <c r="K62" s="304"/>
    </row>
    <row r="63" spans="2:11" s="16" customFormat="1">
      <c r="B63" s="58" t="s">
        <v>42</v>
      </c>
      <c r="C63" s="59"/>
      <c r="D63" s="54"/>
      <c r="E63" s="50"/>
      <c r="F63" s="60"/>
      <c r="G63" s="300"/>
      <c r="I63" s="304"/>
      <c r="J63" s="304"/>
      <c r="K63" s="304"/>
    </row>
    <row r="64" spans="2:11" s="16" customFormat="1" hidden="1">
      <c r="B64" s="61" t="s">
        <v>66</v>
      </c>
      <c r="C64" s="62">
        <f t="shared" ref="C64:C87" si="6">D64/$C$12*2000</f>
        <v>1.290084985835694E-5</v>
      </c>
      <c r="D64" s="63">
        <f>E64*$C$15/2000</f>
        <v>5.6505722379603396E-5</v>
      </c>
      <c r="E64" s="326">
        <f>0.000024*(1+'Key Inputs'!$G$2)</f>
        <v>2.76E-5</v>
      </c>
      <c r="F64" s="46" t="s">
        <v>39</v>
      </c>
      <c r="G64" s="300" t="s">
        <v>128</v>
      </c>
      <c r="I64" s="304"/>
      <c r="J64" s="304"/>
      <c r="K64" s="304"/>
    </row>
    <row r="65" spans="2:11" s="16" customFormat="1" hidden="1">
      <c r="B65" s="61" t="s">
        <v>67</v>
      </c>
      <c r="C65" s="62">
        <f t="shared" si="6"/>
        <v>9.6756373937677013E-7</v>
      </c>
      <c r="D65" s="63">
        <f t="shared" ref="D65:D87" si="7">E65*$C$15/2000</f>
        <v>4.2379291784702535E-6</v>
      </c>
      <c r="E65" s="326">
        <f>0.0000018*(1+'Key Inputs'!$G$2)</f>
        <v>2.0699999999999997E-6</v>
      </c>
      <c r="F65" s="46" t="s">
        <v>39</v>
      </c>
      <c r="G65" s="300" t="s">
        <v>128</v>
      </c>
      <c r="I65" s="304"/>
      <c r="J65" s="304"/>
      <c r="K65" s="304"/>
    </row>
    <row r="66" spans="2:11" s="16" customFormat="1" hidden="1">
      <c r="B66" s="61" t="s">
        <v>68</v>
      </c>
      <c r="C66" s="62">
        <f t="shared" si="6"/>
        <v>8.6005665722379584E-6</v>
      </c>
      <c r="D66" s="63">
        <f t="shared" si="7"/>
        <v>3.7670481586402257E-5</v>
      </c>
      <c r="E66" s="326">
        <f>0.000016*(1+'Key Inputs'!$G$2)</f>
        <v>1.8399999999999997E-5</v>
      </c>
      <c r="F66" s="46" t="s">
        <v>39</v>
      </c>
      <c r="G66" s="300" t="s">
        <v>128</v>
      </c>
      <c r="I66" s="304"/>
      <c r="J66" s="304"/>
      <c r="K66" s="304"/>
    </row>
    <row r="67" spans="2:11" s="16" customFormat="1" hidden="1">
      <c r="B67" s="61" t="s">
        <v>108</v>
      </c>
      <c r="C67" s="62">
        <f t="shared" si="6"/>
        <v>9.6756373937677013E-7</v>
      </c>
      <c r="D67" s="63">
        <f t="shared" si="7"/>
        <v>4.2379291784702535E-6</v>
      </c>
      <c r="E67" s="326">
        <f>0.0000018*(1+'Key Inputs'!$G$2)</f>
        <v>2.0699999999999997E-6</v>
      </c>
      <c r="F67" s="46" t="s">
        <v>39</v>
      </c>
      <c r="G67" s="300" t="s">
        <v>128</v>
      </c>
      <c r="I67" s="304"/>
      <c r="J67" s="304"/>
      <c r="K67" s="304"/>
    </row>
    <row r="68" spans="2:11" s="16" customFormat="1" hidden="1">
      <c r="B68" s="61" t="s">
        <v>109</v>
      </c>
      <c r="C68" s="62">
        <f t="shared" si="6"/>
        <v>9.6756373937677013E-7</v>
      </c>
      <c r="D68" s="63">
        <f t="shared" si="7"/>
        <v>4.2379291784702535E-6</v>
      </c>
      <c r="E68" s="326">
        <f>0.0000018*(1+'Key Inputs'!$G$2)</f>
        <v>2.0699999999999997E-6</v>
      </c>
      <c r="F68" s="46" t="s">
        <v>39</v>
      </c>
      <c r="G68" s="300" t="s">
        <v>128</v>
      </c>
      <c r="I68" s="304"/>
      <c r="J68" s="304"/>
      <c r="K68" s="304"/>
    </row>
    <row r="69" spans="2:11" s="16" customFormat="1" hidden="1">
      <c r="B69" s="61" t="s">
        <v>69</v>
      </c>
      <c r="C69" s="62">
        <f t="shared" si="6"/>
        <v>1.2900849858356939E-6</v>
      </c>
      <c r="D69" s="63">
        <f t="shared" si="7"/>
        <v>5.6505722379603394E-6</v>
      </c>
      <c r="E69" s="326">
        <f>0.0000024*(1+'Key Inputs'!$G$2)</f>
        <v>2.7599999999999998E-6</v>
      </c>
      <c r="F69" s="46" t="s">
        <v>39</v>
      </c>
      <c r="G69" s="300" t="s">
        <v>128</v>
      </c>
      <c r="I69" s="304"/>
      <c r="J69" s="304"/>
      <c r="K69" s="304"/>
    </row>
    <row r="70" spans="2:11" s="16" customFormat="1" hidden="1">
      <c r="B70" s="61" t="s">
        <v>70</v>
      </c>
      <c r="C70" s="62">
        <f t="shared" si="6"/>
        <v>9.6756373937677013E-7</v>
      </c>
      <c r="D70" s="63">
        <f t="shared" si="7"/>
        <v>4.2379291784702535E-6</v>
      </c>
      <c r="E70" s="326">
        <f>0.0000018*(1+'Key Inputs'!$G$2)</f>
        <v>2.0699999999999997E-6</v>
      </c>
      <c r="F70" s="46" t="s">
        <v>39</v>
      </c>
      <c r="G70" s="300" t="s">
        <v>128</v>
      </c>
      <c r="I70" s="304"/>
      <c r="J70" s="304"/>
      <c r="K70" s="304"/>
    </row>
    <row r="71" spans="2:11" s="16" customFormat="1" hidden="1">
      <c r="B71" s="61" t="s">
        <v>43</v>
      </c>
      <c r="C71" s="62">
        <f t="shared" si="6"/>
        <v>1.128824362606232E-3</v>
      </c>
      <c r="D71" s="63">
        <f t="shared" si="7"/>
        <v>4.9442507082152962E-3</v>
      </c>
      <c r="E71" s="326">
        <f>0.0021*(1+'Key Inputs'!$G$2)</f>
        <v>2.4149999999999996E-3</v>
      </c>
      <c r="F71" s="46" t="s">
        <v>39</v>
      </c>
      <c r="G71" s="300" t="s">
        <v>128</v>
      </c>
      <c r="I71" s="304"/>
      <c r="J71" s="304"/>
      <c r="K71" s="304"/>
    </row>
    <row r="72" spans="2:11" s="16" customFormat="1" hidden="1">
      <c r="B72" s="61" t="s">
        <v>71</v>
      </c>
      <c r="C72" s="62">
        <f t="shared" si="6"/>
        <v>6.4504249291784696E-7</v>
      </c>
      <c r="D72" s="63">
        <f t="shared" si="7"/>
        <v>2.8252861189801697E-6</v>
      </c>
      <c r="E72" s="326">
        <f>0.0000012*(1+'Key Inputs'!$G$2)</f>
        <v>1.3799999999999999E-6</v>
      </c>
      <c r="F72" s="46" t="s">
        <v>39</v>
      </c>
      <c r="G72" s="300" t="s">
        <v>128</v>
      </c>
      <c r="I72" s="304"/>
      <c r="J72" s="304"/>
      <c r="K72" s="304"/>
    </row>
    <row r="73" spans="2:11" s="16" customFormat="1" hidden="1">
      <c r="B73" s="61" t="s">
        <v>72</v>
      </c>
      <c r="C73" s="62">
        <f t="shared" si="6"/>
        <v>9.6756373937677013E-7</v>
      </c>
      <c r="D73" s="63">
        <f t="shared" si="7"/>
        <v>4.2379291784702535E-6</v>
      </c>
      <c r="E73" s="326">
        <f>0.0000018*(1+'Key Inputs'!$G$2)</f>
        <v>2.0699999999999997E-6</v>
      </c>
      <c r="F73" s="46" t="s">
        <v>39</v>
      </c>
      <c r="G73" s="300" t="s">
        <v>128</v>
      </c>
      <c r="I73" s="304"/>
      <c r="J73" s="304"/>
      <c r="K73" s="304"/>
    </row>
    <row r="74" spans="2:11" s="16" customFormat="1" hidden="1">
      <c r="B74" s="61" t="s">
        <v>73</v>
      </c>
      <c r="C74" s="62">
        <f t="shared" si="6"/>
        <v>6.4504249291784696E-7</v>
      </c>
      <c r="D74" s="63">
        <f t="shared" si="7"/>
        <v>2.8252861189801697E-6</v>
      </c>
      <c r="E74" s="326">
        <f>0.0000012*(1+'Key Inputs'!$G$2)</f>
        <v>1.3799999999999999E-6</v>
      </c>
      <c r="F74" s="46" t="s">
        <v>39</v>
      </c>
      <c r="G74" s="300" t="s">
        <v>128</v>
      </c>
      <c r="I74" s="304"/>
      <c r="J74" s="304"/>
      <c r="K74" s="304"/>
    </row>
    <row r="75" spans="2:11" s="16" customFormat="1" hidden="1">
      <c r="B75" s="61" t="s">
        <v>74</v>
      </c>
      <c r="C75" s="62">
        <f t="shared" si="6"/>
        <v>9.6756373937677013E-7</v>
      </c>
      <c r="D75" s="63">
        <f t="shared" si="7"/>
        <v>4.2379291784702535E-6</v>
      </c>
      <c r="E75" s="326">
        <f>0.0000018*(1+'Key Inputs'!$G$2)</f>
        <v>2.0699999999999997E-6</v>
      </c>
      <c r="F75" s="46" t="s">
        <v>39</v>
      </c>
      <c r="G75" s="300" t="s">
        <v>128</v>
      </c>
      <c r="I75" s="304"/>
      <c r="J75" s="304"/>
      <c r="K75" s="304"/>
    </row>
    <row r="76" spans="2:11" s="16" customFormat="1" hidden="1">
      <c r="B76" s="61" t="s">
        <v>75</v>
      </c>
      <c r="C76" s="62">
        <f t="shared" si="6"/>
        <v>9.6756373937677013E-7</v>
      </c>
      <c r="D76" s="63">
        <f t="shared" si="7"/>
        <v>4.2379291784702535E-6</v>
      </c>
      <c r="E76" s="326">
        <f>0.0000018*(1+'Key Inputs'!$G$2)</f>
        <v>2.0699999999999997E-6</v>
      </c>
      <c r="F76" s="46" t="s">
        <v>39</v>
      </c>
      <c r="G76" s="300" t="s">
        <v>128</v>
      </c>
      <c r="I76" s="304"/>
      <c r="J76" s="304"/>
      <c r="K76" s="304"/>
    </row>
    <row r="77" spans="2:11" s="16" customFormat="1" hidden="1">
      <c r="B77" s="61" t="s">
        <v>76</v>
      </c>
      <c r="C77" s="62">
        <f t="shared" si="6"/>
        <v>6.4504249291784696E-7</v>
      </c>
      <c r="D77" s="63">
        <f t="shared" si="7"/>
        <v>2.8252861189801697E-6</v>
      </c>
      <c r="E77" s="326">
        <f>0.0000012*(1+'Key Inputs'!$G$2)</f>
        <v>1.3799999999999999E-6</v>
      </c>
      <c r="F77" s="46" t="s">
        <v>39</v>
      </c>
      <c r="G77" s="300" t="s">
        <v>128</v>
      </c>
      <c r="I77" s="304"/>
      <c r="J77" s="304"/>
      <c r="K77" s="304"/>
    </row>
    <row r="78" spans="2:11" s="16" customFormat="1" hidden="1">
      <c r="B78" s="61" t="s">
        <v>77</v>
      </c>
      <c r="C78" s="62">
        <f t="shared" si="6"/>
        <v>6.4504249291784692E-4</v>
      </c>
      <c r="D78" s="63">
        <f t="shared" si="7"/>
        <v>2.8252861189801697E-3</v>
      </c>
      <c r="E78" s="326">
        <f>0.0012*(1+'Key Inputs'!$G$2)</f>
        <v>1.3799999999999997E-3</v>
      </c>
      <c r="F78" s="46" t="s">
        <v>39</v>
      </c>
      <c r="G78" s="300" t="s">
        <v>128</v>
      </c>
      <c r="I78" s="304"/>
      <c r="J78" s="304"/>
      <c r="K78" s="304"/>
    </row>
    <row r="79" spans="2:11" s="16" customFormat="1" hidden="1">
      <c r="B79" s="61" t="s">
        <v>78</v>
      </c>
      <c r="C79" s="62">
        <f t="shared" si="6"/>
        <v>1.6126062322946175E-6</v>
      </c>
      <c r="D79" s="63">
        <f t="shared" si="7"/>
        <v>7.0632152974504245E-6</v>
      </c>
      <c r="E79" s="326">
        <f>0.000003*(1+'Key Inputs'!$G$2)</f>
        <v>3.45E-6</v>
      </c>
      <c r="F79" s="46" t="s">
        <v>39</v>
      </c>
      <c r="G79" s="300" t="s">
        <v>128</v>
      </c>
      <c r="I79" s="304"/>
      <c r="J79" s="304"/>
      <c r="K79" s="304"/>
    </row>
    <row r="80" spans="2:11" s="16" customFormat="1" hidden="1">
      <c r="B80" s="61" t="s">
        <v>79</v>
      </c>
      <c r="C80" s="62">
        <f t="shared" si="6"/>
        <v>1.5050991501416428E-6</v>
      </c>
      <c r="D80" s="63">
        <f t="shared" si="7"/>
        <v>6.5923342776203958E-6</v>
      </c>
      <c r="E80" s="326">
        <f>0.0000028*(1+'Key Inputs'!$G$2)</f>
        <v>3.2199999999999997E-6</v>
      </c>
      <c r="F80" s="46" t="s">
        <v>39</v>
      </c>
      <c r="G80" s="300" t="s">
        <v>128</v>
      </c>
      <c r="I80" s="304"/>
      <c r="J80" s="304"/>
      <c r="K80" s="304"/>
    </row>
    <row r="81" spans="2:11" s="16" customFormat="1" hidden="1">
      <c r="B81" s="61" t="s">
        <v>106</v>
      </c>
      <c r="C81" s="62">
        <f t="shared" si="6"/>
        <v>4.0315155807365437E-2</v>
      </c>
      <c r="D81" s="63">
        <f t="shared" si="7"/>
        <v>0.17658038243626062</v>
      </c>
      <c r="E81" s="326">
        <f>0.075*(1+'Key Inputs'!$G$2)</f>
        <v>8.6249999999999993E-2</v>
      </c>
      <c r="F81" s="46" t="s">
        <v>39</v>
      </c>
      <c r="G81" s="300" t="s">
        <v>128</v>
      </c>
      <c r="I81" s="304"/>
      <c r="J81" s="304"/>
      <c r="K81" s="304"/>
    </row>
    <row r="82" spans="2:11" s="16" customFormat="1">
      <c r="B82" s="61" t="s">
        <v>80</v>
      </c>
      <c r="C82" s="49">
        <f t="shared" si="6"/>
        <v>0.96756373937677043</v>
      </c>
      <c r="D82" s="89">
        <f t="shared" si="7"/>
        <v>4.2379291784702549</v>
      </c>
      <c r="E82" s="328">
        <f>1.8*(1+'Key Inputs'!$G$2)</f>
        <v>2.0699999999999998</v>
      </c>
      <c r="F82" s="46" t="s">
        <v>39</v>
      </c>
      <c r="G82" s="300" t="s">
        <v>128</v>
      </c>
      <c r="I82" s="304"/>
      <c r="J82" s="304"/>
      <c r="K82" s="304"/>
    </row>
    <row r="83" spans="2:11" s="16" customFormat="1" hidden="1">
      <c r="B83" s="61" t="s">
        <v>81</v>
      </c>
      <c r="C83" s="62">
        <f t="shared" si="6"/>
        <v>9.6756373937677013E-7</v>
      </c>
      <c r="D83" s="63">
        <f t="shared" si="7"/>
        <v>4.2379291784702535E-6</v>
      </c>
      <c r="E83" s="326">
        <f>0.0000018*(1+'Key Inputs'!$G$2)</f>
        <v>2.0699999999999997E-6</v>
      </c>
      <c r="F83" s="46" t="s">
        <v>39</v>
      </c>
      <c r="G83" s="300" t="s">
        <v>128</v>
      </c>
      <c r="I83" s="304"/>
      <c r="J83" s="304"/>
      <c r="K83" s="304"/>
    </row>
    <row r="84" spans="2:11" s="16" customFormat="1" hidden="1">
      <c r="B84" s="61" t="s">
        <v>82</v>
      </c>
      <c r="C84" s="62">
        <f t="shared" si="6"/>
        <v>3.2789660056657216E-4</v>
      </c>
      <c r="D84" s="63">
        <f t="shared" si="7"/>
        <v>1.4361871104815861E-3</v>
      </c>
      <c r="E84" s="326">
        <f>0.00061*(1+'Key Inputs'!$G$2)</f>
        <v>7.0149999999999987E-4</v>
      </c>
      <c r="F84" s="46" t="s">
        <v>39</v>
      </c>
      <c r="G84" s="300" t="s">
        <v>128</v>
      </c>
      <c r="I84" s="304"/>
      <c r="J84" s="304"/>
      <c r="K84" s="304"/>
    </row>
    <row r="85" spans="2:11" s="16" customFormat="1" hidden="1">
      <c r="B85" s="61" t="s">
        <v>83</v>
      </c>
      <c r="C85" s="62">
        <f t="shared" si="6"/>
        <v>9.1381019830028307E-6</v>
      </c>
      <c r="D85" s="63">
        <f t="shared" si="7"/>
        <v>4.0024886685552403E-5</v>
      </c>
      <c r="E85" s="326">
        <f>0.000017*(1+'Key Inputs'!$G$2)</f>
        <v>1.9549999999999997E-5</v>
      </c>
      <c r="F85" s="46" t="s">
        <v>39</v>
      </c>
      <c r="G85" s="300" t="s">
        <v>128</v>
      </c>
      <c r="I85" s="304"/>
      <c r="J85" s="304"/>
      <c r="K85" s="304"/>
    </row>
    <row r="86" spans="2:11" s="16" customFormat="1" hidden="1">
      <c r="B86" s="61" t="s">
        <v>84</v>
      </c>
      <c r="C86" s="62">
        <f t="shared" si="6"/>
        <v>2.6876770538243627E-6</v>
      </c>
      <c r="D86" s="63">
        <f t="shared" si="7"/>
        <v>1.1772025495750708E-5</v>
      </c>
      <c r="E86" s="326">
        <f>0.000005*(1+'Key Inputs'!$G$2)</f>
        <v>5.75E-6</v>
      </c>
      <c r="F86" s="46" t="s">
        <v>39</v>
      </c>
      <c r="G86" s="300" t="s">
        <v>128</v>
      </c>
      <c r="I86" s="304"/>
      <c r="J86" s="304"/>
      <c r="K86" s="304"/>
    </row>
    <row r="87" spans="2:11" s="16" customFormat="1" hidden="1">
      <c r="B87" s="61" t="s">
        <v>85</v>
      </c>
      <c r="C87" s="62">
        <f t="shared" si="6"/>
        <v>1.8276203966005663E-3</v>
      </c>
      <c r="D87" s="63">
        <f t="shared" si="7"/>
        <v>8.0049773371104801E-3</v>
      </c>
      <c r="E87" s="326">
        <f>0.0034*(1+'Key Inputs'!$G$2)</f>
        <v>3.9099999999999994E-3</v>
      </c>
      <c r="F87" s="46" t="s">
        <v>39</v>
      </c>
      <c r="G87" s="300" t="s">
        <v>128</v>
      </c>
      <c r="I87" s="304"/>
      <c r="J87" s="304"/>
      <c r="K87" s="304"/>
    </row>
    <row r="88" spans="2:11" s="16" customFormat="1">
      <c r="B88" s="58"/>
      <c r="C88" s="64"/>
      <c r="D88" s="65"/>
      <c r="E88" s="50"/>
      <c r="F88" s="60"/>
      <c r="G88" s="300"/>
      <c r="I88" s="304"/>
      <c r="J88" s="304"/>
      <c r="K88" s="304"/>
    </row>
    <row r="89" spans="2:11" s="16" customFormat="1">
      <c r="B89" s="58" t="s">
        <v>261</v>
      </c>
      <c r="C89" s="64"/>
      <c r="D89" s="65"/>
      <c r="E89" s="50"/>
      <c r="F89" s="60"/>
      <c r="G89" s="300"/>
      <c r="I89" s="304"/>
      <c r="J89" s="304"/>
      <c r="K89" s="304"/>
    </row>
    <row r="90" spans="2:11" s="16" customFormat="1">
      <c r="B90" s="61" t="s">
        <v>272</v>
      </c>
      <c r="C90" s="49">
        <f t="shared" ref="C90" si="8">D90/$C$12*2000</f>
        <v>1.720113314447592</v>
      </c>
      <c r="D90" s="89">
        <f t="shared" ref="D90" si="9">E90*$C$15/2000</f>
        <v>7.5340963172804525</v>
      </c>
      <c r="E90" s="328">
        <f>3.2*(1+'Key Inputs'!$G$2)</f>
        <v>3.6799999999999997</v>
      </c>
      <c r="F90" s="60" t="s">
        <v>39</v>
      </c>
      <c r="G90" s="300" t="s">
        <v>273</v>
      </c>
      <c r="I90" s="304"/>
      <c r="J90" s="304"/>
      <c r="K90" s="304"/>
    </row>
    <row r="91" spans="2:11" s="16" customFormat="1">
      <c r="B91" s="58"/>
      <c r="C91" s="64"/>
      <c r="D91" s="65"/>
      <c r="E91" s="50"/>
      <c r="F91" s="60"/>
      <c r="G91" s="300"/>
      <c r="I91" s="304"/>
      <c r="J91" s="304"/>
      <c r="K91" s="304"/>
    </row>
    <row r="92" spans="2:11" s="16" customFormat="1">
      <c r="B92" s="58" t="s">
        <v>86</v>
      </c>
      <c r="C92" s="64"/>
      <c r="D92" s="65"/>
      <c r="E92" s="50"/>
      <c r="F92" s="60"/>
      <c r="G92" s="300"/>
      <c r="I92" s="304"/>
      <c r="J92" s="304"/>
      <c r="K92" s="304"/>
    </row>
    <row r="93" spans="2:11" s="16" customFormat="1" hidden="1">
      <c r="B93" s="61" t="s">
        <v>87</v>
      </c>
      <c r="C93" s="62">
        <f t="shared" ref="C93:C102" si="10">D93/$C$12*2000</f>
        <v>1.075070821529745E-4</v>
      </c>
      <c r="D93" s="63">
        <f>E93*$C$15/2000</f>
        <v>4.7088101983002828E-4</v>
      </c>
      <c r="E93" s="326">
        <f>0.0002*(1+'Key Inputs'!$G$2)</f>
        <v>2.2999999999999998E-4</v>
      </c>
      <c r="F93" s="46" t="s">
        <v>39</v>
      </c>
      <c r="G93" s="300" t="s">
        <v>127</v>
      </c>
      <c r="I93" s="304"/>
      <c r="J93" s="304"/>
      <c r="K93" s="304"/>
    </row>
    <row r="94" spans="2:11" s="16" customFormat="1" hidden="1">
      <c r="B94" s="61" t="s">
        <v>88</v>
      </c>
      <c r="C94" s="62">
        <f t="shared" si="10"/>
        <v>2.3651558073654391E-3</v>
      </c>
      <c r="D94" s="63">
        <f t="shared" ref="D94:D102" si="11">E94*$C$15/2000</f>
        <v>1.0359382436260623E-2</v>
      </c>
      <c r="E94" s="326">
        <f>0.0044*(1+'Key Inputs'!$G$2)</f>
        <v>5.0600000000000003E-3</v>
      </c>
      <c r="F94" s="46" t="s">
        <v>39</v>
      </c>
      <c r="G94" s="300" t="s">
        <v>127</v>
      </c>
      <c r="I94" s="304"/>
      <c r="J94" s="304"/>
      <c r="K94" s="304"/>
    </row>
    <row r="95" spans="2:11" s="16" customFormat="1" hidden="1">
      <c r="B95" s="61" t="s">
        <v>11</v>
      </c>
      <c r="C95" s="62">
        <f t="shared" si="10"/>
        <v>5.9128895184135978E-4</v>
      </c>
      <c r="D95" s="63">
        <f t="shared" si="11"/>
        <v>2.5898456090651559E-3</v>
      </c>
      <c r="E95" s="326">
        <f>0.0011*(1+'Key Inputs'!$G$2)</f>
        <v>1.2650000000000001E-3</v>
      </c>
      <c r="F95" s="46" t="s">
        <v>39</v>
      </c>
      <c r="G95" s="300" t="s">
        <v>127</v>
      </c>
      <c r="I95" s="304"/>
      <c r="J95" s="304"/>
      <c r="K95" s="304"/>
    </row>
    <row r="96" spans="2:11" s="16" customFormat="1" hidden="1">
      <c r="B96" s="61" t="s">
        <v>89</v>
      </c>
      <c r="C96" s="62">
        <f t="shared" si="10"/>
        <v>7.5254957507082151E-4</v>
      </c>
      <c r="D96" s="63">
        <f t="shared" si="11"/>
        <v>3.2961671388101982E-3</v>
      </c>
      <c r="E96" s="326">
        <f>0.0014*(1+'Key Inputs'!$G$2)</f>
        <v>1.6099999999999999E-3</v>
      </c>
      <c r="F96" s="46" t="s">
        <v>39</v>
      </c>
      <c r="G96" s="300" t="s">
        <v>127</v>
      </c>
      <c r="I96" s="304"/>
      <c r="J96" s="304"/>
      <c r="K96" s="304"/>
    </row>
    <row r="97" spans="2:11" s="16" customFormat="1" hidden="1">
      <c r="B97" s="61" t="s">
        <v>90</v>
      </c>
      <c r="C97" s="62">
        <f t="shared" si="10"/>
        <v>4.5152974504249279E-5</v>
      </c>
      <c r="D97" s="63">
        <f t="shared" si="11"/>
        <v>1.9777002832861186E-4</v>
      </c>
      <c r="E97" s="326">
        <f>0.000084*(1+'Key Inputs'!$G$2)</f>
        <v>9.659999999999999E-5</v>
      </c>
      <c r="F97" s="46" t="s">
        <v>39</v>
      </c>
      <c r="G97" s="300" t="s">
        <v>127</v>
      </c>
      <c r="I97" s="304"/>
      <c r="J97" s="304"/>
      <c r="K97" s="304"/>
    </row>
    <row r="98" spans="2:11" s="16" customFormat="1">
      <c r="B98" s="61" t="s">
        <v>91</v>
      </c>
      <c r="C98" s="62">
        <f t="shared" si="10"/>
        <v>2.6876770538243627E-4</v>
      </c>
      <c r="D98" s="63">
        <f t="shared" si="11"/>
        <v>1.1772025495750708E-3</v>
      </c>
      <c r="E98" s="326">
        <f>0.0005*(1+'Key Inputs'!$G$2)</f>
        <v>5.7499999999999999E-4</v>
      </c>
      <c r="F98" s="46" t="s">
        <v>39</v>
      </c>
      <c r="G98" s="300" t="s">
        <v>126</v>
      </c>
      <c r="I98" s="304"/>
      <c r="J98" s="304"/>
      <c r="K98" s="304"/>
    </row>
    <row r="99" spans="2:11" s="16" customFormat="1" hidden="1">
      <c r="B99" s="61" t="s">
        <v>7</v>
      </c>
      <c r="C99" s="62">
        <f t="shared" si="10"/>
        <v>2.0426345609065157E-4</v>
      </c>
      <c r="D99" s="63">
        <f t="shared" si="11"/>
        <v>8.9467393767705386E-4</v>
      </c>
      <c r="E99" s="326">
        <f>0.00038*(1+'Key Inputs'!$G$2)</f>
        <v>4.37E-4</v>
      </c>
      <c r="F99" s="46" t="s">
        <v>39</v>
      </c>
      <c r="G99" s="300" t="s">
        <v>127</v>
      </c>
      <c r="I99" s="304"/>
      <c r="J99" s="304"/>
      <c r="K99" s="304"/>
    </row>
    <row r="100" spans="2:11" s="16" customFormat="1">
      <c r="B100" s="61" t="s">
        <v>92</v>
      </c>
      <c r="C100" s="62">
        <f t="shared" si="10"/>
        <v>1.3975920679886681E-4</v>
      </c>
      <c r="D100" s="63">
        <f t="shared" si="11"/>
        <v>6.121453257790367E-4</v>
      </c>
      <c r="E100" s="326">
        <f>0.00026*(1+'Key Inputs'!$G$2)</f>
        <v>2.9899999999999995E-4</v>
      </c>
      <c r="F100" s="46" t="s">
        <v>39</v>
      </c>
      <c r="G100" s="300" t="s">
        <v>127</v>
      </c>
      <c r="I100" s="304"/>
      <c r="J100" s="304"/>
      <c r="K100" s="304"/>
    </row>
    <row r="101" spans="2:11" s="16" customFormat="1" hidden="1">
      <c r="B101" s="66" t="s">
        <v>12</v>
      </c>
      <c r="C101" s="62">
        <f t="shared" si="10"/>
        <v>1.128824362606232E-3</v>
      </c>
      <c r="D101" s="63">
        <f t="shared" si="11"/>
        <v>4.9442507082152962E-3</v>
      </c>
      <c r="E101" s="327">
        <f>0.0021*(1+'Key Inputs'!$G$2)</f>
        <v>2.4149999999999996E-3</v>
      </c>
      <c r="F101" s="46" t="s">
        <v>39</v>
      </c>
      <c r="G101" s="300" t="s">
        <v>127</v>
      </c>
      <c r="I101" s="304"/>
      <c r="J101" s="304"/>
      <c r="K101" s="304"/>
    </row>
    <row r="102" spans="2:11" s="16" customFormat="1" hidden="1">
      <c r="B102" s="66" t="s">
        <v>93</v>
      </c>
      <c r="C102" s="62">
        <f t="shared" si="10"/>
        <v>1.290084985835694E-5</v>
      </c>
      <c r="D102" s="63">
        <f t="shared" si="11"/>
        <v>5.6505722379603396E-5</v>
      </c>
      <c r="E102" s="327">
        <f>0.000024*(1+'Key Inputs'!$G$2)</f>
        <v>2.76E-5</v>
      </c>
      <c r="F102" s="46" t="s">
        <v>39</v>
      </c>
      <c r="G102" s="300" t="s">
        <v>127</v>
      </c>
      <c r="I102" s="304"/>
      <c r="J102" s="304"/>
      <c r="K102" s="304"/>
    </row>
    <row r="103" spans="2:11" s="16" customFormat="1">
      <c r="B103" s="66"/>
      <c r="C103" s="67"/>
      <c r="D103" s="68"/>
      <c r="E103" s="69"/>
      <c r="F103" s="46"/>
      <c r="G103" s="300"/>
      <c r="I103" s="304"/>
      <c r="J103" s="304"/>
      <c r="K103" s="304"/>
    </row>
    <row r="104" spans="2:11" s="16" customFormat="1">
      <c r="B104" s="43" t="s">
        <v>44</v>
      </c>
      <c r="C104" s="44"/>
      <c r="D104" s="68"/>
      <c r="E104" s="69"/>
      <c r="F104" s="46"/>
      <c r="G104" s="300"/>
      <c r="I104" s="304"/>
      <c r="J104" s="304"/>
      <c r="K104" s="304"/>
    </row>
    <row r="105" spans="2:11" s="16" customFormat="1" ht="14.25">
      <c r="B105" s="70" t="s">
        <v>150</v>
      </c>
      <c r="C105" s="71">
        <f>D105/$C$12*2000</f>
        <v>57903.751776071535</v>
      </c>
      <c r="D105" s="72">
        <f>E105*'Key Inputs'!$D$43*$C$15/2000</f>
        <v>253618.43277919333</v>
      </c>
      <c r="E105" s="323">
        <f>CONVERT(53.06,"kg","lbm")</f>
        <v>116.97727631529604</v>
      </c>
      <c r="F105" s="52" t="s">
        <v>45</v>
      </c>
      <c r="G105" s="314" t="s">
        <v>256</v>
      </c>
      <c r="I105" s="304"/>
      <c r="J105" s="304"/>
      <c r="K105" s="304"/>
    </row>
    <row r="106" spans="2:11" s="16" customFormat="1" ht="14.25">
      <c r="B106" s="70" t="s">
        <v>151</v>
      </c>
      <c r="C106" s="49">
        <f>D106/$C$12*2000</f>
        <v>1.0912881978151441</v>
      </c>
      <c r="D106" s="72">
        <f>E106*'Key Inputs'!$D$43*$C$15/2000</f>
        <v>4.7798423064303304</v>
      </c>
      <c r="E106" s="324">
        <f>CONVERT(0.001,"kg","lbm")</f>
        <v>2.2046226218487759E-3</v>
      </c>
      <c r="F106" s="52" t="s">
        <v>45</v>
      </c>
      <c r="G106" s="314" t="s">
        <v>94</v>
      </c>
      <c r="I106" s="304"/>
      <c r="J106" s="304"/>
      <c r="K106" s="304"/>
    </row>
    <row r="107" spans="2:11" s="16" customFormat="1" ht="14.25">
      <c r="B107" s="70" t="s">
        <v>152</v>
      </c>
      <c r="C107" s="49">
        <f>D107/$C$12*2000</f>
        <v>0.10912881978151438</v>
      </c>
      <c r="D107" s="72">
        <f>E107*'Key Inputs'!$D$43*$C$15/2000</f>
        <v>0.47798423064303303</v>
      </c>
      <c r="E107" s="325">
        <f>CONVERT(0.0001,"kg","lbm")</f>
        <v>2.2046226218487756E-4</v>
      </c>
      <c r="F107" s="52" t="s">
        <v>45</v>
      </c>
      <c r="G107" s="314" t="s">
        <v>94</v>
      </c>
      <c r="I107" s="304"/>
      <c r="J107" s="304"/>
      <c r="K107" s="304"/>
    </row>
    <row r="108" spans="2:11" s="16" customFormat="1" ht="14.25">
      <c r="B108" s="70" t="s">
        <v>153</v>
      </c>
      <c r="C108" s="71">
        <f>D108/$C$12*2000</f>
        <v>57963.554369311802</v>
      </c>
      <c r="D108" s="73">
        <f>D105*'Key Inputs'!$C$62+D106*'Key Inputs'!$C$63+D107*'Key Inputs'!$C$64</f>
        <v>253880.3681375857</v>
      </c>
      <c r="E108" s="74" t="s">
        <v>46</v>
      </c>
      <c r="F108" s="75" t="s">
        <v>46</v>
      </c>
      <c r="G108" s="300" t="s">
        <v>47</v>
      </c>
      <c r="I108" s="304"/>
      <c r="J108" s="304"/>
      <c r="K108" s="304"/>
    </row>
    <row r="109" spans="2:11" s="18" customFormat="1" ht="6" customHeight="1" thickBot="1">
      <c r="B109" s="38"/>
      <c r="C109" s="76"/>
      <c r="D109" s="77"/>
      <c r="E109" s="78"/>
      <c r="F109" s="78"/>
      <c r="G109" s="299"/>
      <c r="I109" s="307"/>
      <c r="J109" s="307"/>
      <c r="K109" s="307"/>
    </row>
    <row r="110" spans="2:11" s="18" customFormat="1" ht="6" customHeight="1">
      <c r="D110" s="27"/>
      <c r="E110" s="25"/>
      <c r="F110" s="25"/>
      <c r="G110" s="21"/>
      <c r="I110" s="307"/>
      <c r="J110" s="307"/>
      <c r="K110" s="307"/>
    </row>
    <row r="111" spans="2:11" s="11" customFormat="1" ht="15">
      <c r="B111" s="776" t="s">
        <v>259</v>
      </c>
      <c r="C111" s="316"/>
      <c r="D111" s="316"/>
      <c r="E111" s="317"/>
      <c r="F111" s="316"/>
      <c r="G111" s="318"/>
      <c r="I111" s="306"/>
      <c r="J111" s="306"/>
      <c r="K111" s="306"/>
    </row>
    <row r="112" spans="2:11" s="18" customFormat="1" ht="6" customHeight="1" thickBot="1">
      <c r="D112" s="27"/>
      <c r="E112" s="25"/>
      <c r="F112" s="25"/>
      <c r="G112" s="21"/>
      <c r="I112" s="307"/>
      <c r="J112" s="307"/>
      <c r="K112" s="307"/>
    </row>
    <row r="113" spans="2:11" s="18" customFormat="1" ht="6" customHeight="1">
      <c r="B113" s="28"/>
      <c r="C113" s="29"/>
      <c r="D113" s="30"/>
      <c r="E113" s="31"/>
      <c r="F113" s="31"/>
      <c r="G113" s="298"/>
      <c r="I113" s="307"/>
      <c r="J113" s="307"/>
      <c r="K113" s="307"/>
    </row>
    <row r="114" spans="2:11" s="37" customFormat="1" ht="38.25">
      <c r="B114" s="33" t="s">
        <v>32</v>
      </c>
      <c r="C114" s="34" t="s">
        <v>140</v>
      </c>
      <c r="D114" s="34" t="s">
        <v>141</v>
      </c>
      <c r="E114" s="34" t="s">
        <v>139</v>
      </c>
      <c r="F114" s="34" t="s">
        <v>35</v>
      </c>
      <c r="G114" s="35" t="s">
        <v>36</v>
      </c>
      <c r="I114" s="545"/>
      <c r="J114" s="545"/>
      <c r="K114" s="545"/>
    </row>
    <row r="115" spans="2:11" s="18" customFormat="1" ht="6" customHeight="1" thickBot="1">
      <c r="B115" s="38"/>
      <c r="C115" s="39"/>
      <c r="D115" s="40"/>
      <c r="E115" s="41"/>
      <c r="F115" s="41"/>
      <c r="G115" s="299"/>
      <c r="I115" s="307"/>
      <c r="J115" s="307"/>
      <c r="K115" s="307"/>
    </row>
    <row r="116" spans="2:11" s="18" customFormat="1" ht="6" customHeight="1">
      <c r="B116" s="28"/>
      <c r="C116" s="29"/>
      <c r="D116" s="30"/>
      <c r="E116" s="31"/>
      <c r="F116" s="31"/>
      <c r="G116" s="298"/>
      <c r="I116" s="307"/>
      <c r="J116" s="307"/>
      <c r="K116" s="307"/>
    </row>
    <row r="117" spans="2:11" s="16" customFormat="1">
      <c r="B117" s="43" t="s">
        <v>41</v>
      </c>
      <c r="C117" s="44"/>
      <c r="D117" s="54"/>
      <c r="E117" s="56"/>
      <c r="F117" s="57"/>
      <c r="G117" s="300"/>
      <c r="I117" s="304"/>
      <c r="J117" s="304"/>
      <c r="K117" s="304"/>
    </row>
    <row r="118" spans="2:11" s="16" customFormat="1">
      <c r="B118" s="58" t="s">
        <v>42</v>
      </c>
      <c r="C118" s="59"/>
      <c r="D118" s="54"/>
      <c r="E118" s="50"/>
      <c r="F118" s="60"/>
      <c r="G118" s="300"/>
      <c r="I118" s="304"/>
      <c r="J118" s="304"/>
      <c r="K118" s="304"/>
    </row>
    <row r="119" spans="2:11" s="16" customFormat="1">
      <c r="B119" s="61" t="s">
        <v>43</v>
      </c>
      <c r="C119" s="62">
        <f t="shared" ref="C119:C125" si="12">D119/$C$12*2000</f>
        <v>2.8909035444509006E-2</v>
      </c>
      <c r="D119" s="63">
        <f>E119*$C$16/2000</f>
        <v>0.12662157524694945</v>
      </c>
      <c r="E119" s="326">
        <v>3.0152999999999992E-2</v>
      </c>
      <c r="F119" s="46" t="s">
        <v>39</v>
      </c>
      <c r="G119" s="300" t="s">
        <v>266</v>
      </c>
      <c r="I119" s="304"/>
      <c r="J119" s="304"/>
      <c r="K119" s="304"/>
    </row>
    <row r="120" spans="2:11" s="16" customFormat="1">
      <c r="B120" s="61"/>
      <c r="C120" s="62"/>
      <c r="D120" s="63"/>
      <c r="E120" s="63"/>
      <c r="F120" s="46"/>
      <c r="G120" s="300"/>
      <c r="I120" s="304"/>
      <c r="J120" s="304"/>
      <c r="K120" s="304"/>
    </row>
    <row r="121" spans="2:11" s="16" customFormat="1">
      <c r="B121" s="58" t="s">
        <v>261</v>
      </c>
      <c r="C121" s="62"/>
      <c r="D121" s="63"/>
      <c r="E121" s="63"/>
      <c r="F121" s="46"/>
      <c r="G121" s="300"/>
      <c r="I121" s="304"/>
      <c r="J121" s="304"/>
      <c r="K121" s="304"/>
    </row>
    <row r="122" spans="2:11" s="16" customFormat="1">
      <c r="B122" s="61" t="s">
        <v>267</v>
      </c>
      <c r="C122" s="49">
        <f t="shared" ref="C122" si="13">D122/$C$12*2000</f>
        <v>4.3718768158047654</v>
      </c>
      <c r="D122" s="89">
        <f>E122*$C$16/2000</f>
        <v>19.148820453224872</v>
      </c>
      <c r="E122" s="89">
        <v>4.5599999999999996</v>
      </c>
      <c r="F122" s="46" t="s">
        <v>39</v>
      </c>
      <c r="G122" s="300" t="s">
        <v>270</v>
      </c>
      <c r="I122" s="304"/>
      <c r="J122" s="304"/>
      <c r="K122" s="304"/>
    </row>
    <row r="123" spans="2:11" s="16" customFormat="1" ht="14.25">
      <c r="B123" s="61" t="s">
        <v>268</v>
      </c>
      <c r="C123" s="62">
        <f t="shared" si="12"/>
        <v>3.1638582219639749E-2</v>
      </c>
      <c r="D123" s="63">
        <f>E123*$C$16/2000</f>
        <v>0.1385769901220221</v>
      </c>
      <c r="E123" s="63">
        <v>3.3000000000000002E-2</v>
      </c>
      <c r="F123" s="46" t="s">
        <v>39</v>
      </c>
      <c r="G123" s="300" t="s">
        <v>270</v>
      </c>
      <c r="I123" s="304"/>
      <c r="J123" s="304"/>
      <c r="K123" s="304"/>
    </row>
    <row r="124" spans="2:11" s="16" customFormat="1">
      <c r="B124" s="61" t="s">
        <v>262</v>
      </c>
      <c r="C124" s="62">
        <f t="shared" si="12"/>
        <v>6.2318419523532835E-2</v>
      </c>
      <c r="D124" s="63">
        <f t="shared" ref="D124:D125" si="14">E124*$C$16/2000</f>
        <v>0.27295467751307384</v>
      </c>
      <c r="E124" s="63">
        <v>6.5000000000000002E-2</v>
      </c>
      <c r="F124" s="46" t="s">
        <v>39</v>
      </c>
      <c r="G124" s="300" t="s">
        <v>270</v>
      </c>
      <c r="I124" s="304"/>
      <c r="J124" s="304"/>
      <c r="K124" s="304"/>
    </row>
    <row r="125" spans="2:11" s="16" customFormat="1" ht="14.25">
      <c r="B125" s="61" t="s">
        <v>269</v>
      </c>
      <c r="C125" s="62">
        <f t="shared" si="12"/>
        <v>0.14860546194073215</v>
      </c>
      <c r="D125" s="63">
        <f t="shared" si="14"/>
        <v>0.65089192330040679</v>
      </c>
      <c r="E125" s="63">
        <v>0.155</v>
      </c>
      <c r="F125" s="46" t="s">
        <v>39</v>
      </c>
      <c r="G125" s="300" t="s">
        <v>270</v>
      </c>
      <c r="I125" s="304"/>
      <c r="J125" s="304"/>
      <c r="K125" s="304"/>
    </row>
    <row r="126" spans="2:11" s="16" customFormat="1">
      <c r="B126" s="58"/>
      <c r="C126" s="64"/>
      <c r="D126" s="65"/>
      <c r="E126" s="50"/>
      <c r="F126" s="60"/>
      <c r="G126" s="300"/>
      <c r="I126" s="304"/>
      <c r="J126" s="304"/>
      <c r="K126" s="304"/>
    </row>
    <row r="127" spans="2:11" s="16" customFormat="1">
      <c r="B127" s="43" t="s">
        <v>44</v>
      </c>
      <c r="C127" s="44"/>
      <c r="D127" s="68"/>
      <c r="E127" s="69"/>
      <c r="F127" s="46"/>
      <c r="G127" s="300"/>
      <c r="I127" s="304"/>
      <c r="J127" s="304"/>
      <c r="K127" s="304"/>
    </row>
    <row r="128" spans="2:11" s="16" customFormat="1" ht="14.25">
      <c r="B128" s="70" t="s">
        <v>150</v>
      </c>
      <c r="C128" s="71">
        <f>D128/$C$12*2000</f>
        <v>51126.852067639513</v>
      </c>
      <c r="D128" s="72">
        <f>E128*'Key Inputs'!$D$45*$C$16/2000</f>
        <v>223935.61205626104</v>
      </c>
      <c r="E128" s="323">
        <f>CONVERT(46.85,"kg","lbm")</f>
        <v>103.28656983361515</v>
      </c>
      <c r="F128" s="52" t="s">
        <v>45</v>
      </c>
      <c r="G128" s="314" t="s">
        <v>280</v>
      </c>
      <c r="I128" s="304"/>
      <c r="J128" s="304"/>
      <c r="K128" s="304"/>
    </row>
    <row r="129" spans="2:11" s="16" customFormat="1" ht="14.25">
      <c r="B129" s="70" t="s">
        <v>151</v>
      </c>
      <c r="C129" s="49">
        <f>D129/$C$12*2000</f>
        <v>0.52381833495126917</v>
      </c>
      <c r="D129" s="72">
        <f>E129*'Key Inputs'!$D$45*$C$16/2000</f>
        <v>2.2943243070865593</v>
      </c>
      <c r="E129" s="324">
        <f>CONVERT(0.00048,"kg","lbm")</f>
        <v>1.0582188584874123E-3</v>
      </c>
      <c r="F129" s="52" t="s">
        <v>45</v>
      </c>
      <c r="G129" s="314" t="s">
        <v>281</v>
      </c>
      <c r="I129" s="304"/>
      <c r="J129" s="304"/>
      <c r="K129" s="304"/>
    </row>
    <row r="130" spans="2:11" s="16" customFormat="1" ht="14.25">
      <c r="B130" s="70" t="s">
        <v>152</v>
      </c>
      <c r="C130" s="49">
        <f>D130/$C$12*2000</f>
        <v>0.1091288197815144</v>
      </c>
      <c r="D130" s="72">
        <f>E130*'Key Inputs'!$D$45*$C$16/2000</f>
        <v>0.47798423064303308</v>
      </c>
      <c r="E130" s="325">
        <f>CONVERT(0.0001,"kg","lbm")</f>
        <v>2.2046226218487756E-4</v>
      </c>
      <c r="F130" s="52" t="s">
        <v>45</v>
      </c>
      <c r="G130" s="314" t="s">
        <v>281</v>
      </c>
      <c r="I130" s="304"/>
      <c r="J130" s="304"/>
      <c r="K130" s="304"/>
    </row>
    <row r="131" spans="2:11" s="16" customFormat="1" ht="14.25">
      <c r="B131" s="70" t="s">
        <v>153</v>
      </c>
      <c r="C131" s="71">
        <f>D131/$C$12*2000</f>
        <v>51172.467914308181</v>
      </c>
      <c r="D131" s="73">
        <f>D128*'Key Inputs'!$C$62+D129*'Key Inputs'!$C$63+D130*'Key Inputs'!$C$64</f>
        <v>224135.40946466982</v>
      </c>
      <c r="E131" s="74" t="s">
        <v>46</v>
      </c>
      <c r="F131" s="75" t="s">
        <v>46</v>
      </c>
      <c r="G131" s="300" t="s">
        <v>47</v>
      </c>
      <c r="I131" s="304"/>
      <c r="J131" s="304"/>
      <c r="K131" s="304"/>
    </row>
    <row r="132" spans="2:11" s="18" customFormat="1" ht="6" customHeight="1" thickBot="1">
      <c r="B132" s="38"/>
      <c r="C132" s="76"/>
      <c r="D132" s="77"/>
      <c r="E132" s="78"/>
      <c r="F132" s="78"/>
      <c r="G132" s="299"/>
      <c r="I132" s="307"/>
      <c r="J132" s="307"/>
      <c r="K132" s="307"/>
    </row>
    <row r="133" spans="2:11" ht="6" customHeight="1"/>
    <row r="134" spans="2:11" s="11" customFormat="1" ht="15">
      <c r="B134" s="776" t="s">
        <v>278</v>
      </c>
      <c r="C134" s="316"/>
      <c r="D134" s="316"/>
      <c r="E134" s="317"/>
      <c r="F134" s="316"/>
      <c r="G134" s="318"/>
      <c r="I134" s="306"/>
      <c r="J134" s="306"/>
      <c r="K134" s="306"/>
    </row>
    <row r="135" spans="2:11" s="18" customFormat="1" ht="6" customHeight="1" thickBot="1">
      <c r="D135" s="27"/>
      <c r="E135" s="25"/>
      <c r="F135" s="25"/>
      <c r="G135" s="21"/>
      <c r="I135" s="307"/>
      <c r="J135" s="307"/>
      <c r="K135" s="307"/>
    </row>
    <row r="136" spans="2:11" s="18" customFormat="1" ht="6" customHeight="1">
      <c r="B136" s="28"/>
      <c r="C136" s="29"/>
      <c r="D136" s="30"/>
      <c r="E136" s="31"/>
      <c r="F136" s="31"/>
      <c r="G136" s="298"/>
      <c r="I136" s="307"/>
      <c r="J136" s="307"/>
      <c r="K136" s="307"/>
    </row>
    <row r="137" spans="2:11" s="37" customFormat="1" ht="38.25">
      <c r="B137" s="33" t="s">
        <v>32</v>
      </c>
      <c r="C137" s="34" t="s">
        <v>140</v>
      </c>
      <c r="D137" s="34" t="s">
        <v>141</v>
      </c>
      <c r="E137" s="34" t="s">
        <v>139</v>
      </c>
      <c r="F137" s="34" t="s">
        <v>35</v>
      </c>
      <c r="G137" s="35" t="s">
        <v>36</v>
      </c>
      <c r="I137" s="545"/>
      <c r="J137" s="545"/>
      <c r="K137" s="545"/>
    </row>
    <row r="138" spans="2:11" s="18" customFormat="1" ht="6" customHeight="1" thickBot="1">
      <c r="B138" s="38"/>
      <c r="C138" s="39"/>
      <c r="D138" s="40"/>
      <c r="E138" s="41"/>
      <c r="F138" s="41"/>
      <c r="G138" s="299"/>
      <c r="I138" s="307"/>
      <c r="J138" s="307"/>
      <c r="K138" s="307"/>
    </row>
    <row r="139" spans="2:11" s="18" customFormat="1" ht="6" customHeight="1">
      <c r="B139" s="28"/>
      <c r="C139" s="29"/>
      <c r="D139" s="30"/>
      <c r="E139" s="31"/>
      <c r="F139" s="31"/>
      <c r="G139" s="298"/>
      <c r="I139" s="307"/>
      <c r="J139" s="307"/>
      <c r="K139" s="307"/>
    </row>
    <row r="140" spans="2:11" s="16" customFormat="1">
      <c r="B140" s="43" t="s">
        <v>41</v>
      </c>
      <c r="C140" s="44"/>
      <c r="D140" s="54"/>
      <c r="E140" s="56"/>
      <c r="F140" s="57"/>
      <c r="G140" s="300"/>
      <c r="I140" s="304"/>
      <c r="J140" s="304"/>
      <c r="K140" s="304"/>
    </row>
    <row r="141" spans="2:11" s="16" customFormat="1">
      <c r="B141" s="58" t="s">
        <v>86</v>
      </c>
      <c r="C141" s="49"/>
      <c r="D141" s="50"/>
      <c r="E141" s="80"/>
      <c r="F141" s="52"/>
      <c r="G141" s="301"/>
      <c r="I141" s="304"/>
      <c r="J141" s="304"/>
      <c r="K141" s="304"/>
    </row>
    <row r="142" spans="2:11" s="16" customFormat="1">
      <c r="B142" s="48" t="s">
        <v>234</v>
      </c>
      <c r="C142" s="62">
        <f>$C$84*E142%</f>
        <v>3.1805970254957499E-9</v>
      </c>
      <c r="D142" s="62">
        <f>$D$84*E142%</f>
        <v>1.3931014971671386E-8</v>
      </c>
      <c r="E142" s="82">
        <v>9.7000000000000005E-4</v>
      </c>
      <c r="F142" s="52" t="s">
        <v>245</v>
      </c>
      <c r="G142" s="301" t="s">
        <v>246</v>
      </c>
      <c r="I142" s="304"/>
      <c r="J142" s="304"/>
      <c r="K142" s="304"/>
    </row>
    <row r="143" spans="2:11" s="16" customFormat="1">
      <c r="B143" s="48" t="s">
        <v>235</v>
      </c>
      <c r="C143" s="62">
        <f t="shared" ref="C143:C153" si="15">$C$84*E143%</f>
        <v>3.9347592067988657E-10</v>
      </c>
      <c r="D143" s="62">
        <f t="shared" ref="D143:D153" si="16">$D$84*E143%</f>
        <v>1.7234245325779034E-9</v>
      </c>
      <c r="E143" s="82">
        <v>1.2E-4</v>
      </c>
      <c r="F143" s="52" t="s">
        <v>245</v>
      </c>
      <c r="G143" s="301" t="s">
        <v>246</v>
      </c>
      <c r="I143" s="304"/>
      <c r="J143" s="304"/>
      <c r="K143" s="304"/>
    </row>
    <row r="144" spans="2:11" s="16" customFormat="1">
      <c r="B144" s="48" t="s">
        <v>236</v>
      </c>
      <c r="C144" s="62">
        <f t="shared" si="15"/>
        <v>3.9347592067988657E-10</v>
      </c>
      <c r="D144" s="62">
        <f t="shared" si="16"/>
        <v>1.7234245325779034E-9</v>
      </c>
      <c r="E144" s="82">
        <v>1.2E-4</v>
      </c>
      <c r="F144" s="52" t="s">
        <v>245</v>
      </c>
      <c r="G144" s="301" t="s">
        <v>246</v>
      </c>
      <c r="I144" s="304"/>
      <c r="J144" s="304"/>
      <c r="K144" s="304"/>
    </row>
    <row r="145" spans="2:11" s="16" customFormat="1">
      <c r="B145" s="48" t="s">
        <v>237</v>
      </c>
      <c r="C145" s="62">
        <f t="shared" si="15"/>
        <v>1.0820587818696882E-9</v>
      </c>
      <c r="D145" s="62">
        <f t="shared" si="16"/>
        <v>4.7394174645892344E-9</v>
      </c>
      <c r="E145" s="82">
        <v>3.3E-4</v>
      </c>
      <c r="F145" s="52" t="s">
        <v>245</v>
      </c>
      <c r="G145" s="301" t="s">
        <v>246</v>
      </c>
      <c r="I145" s="304"/>
      <c r="J145" s="304"/>
      <c r="K145" s="304"/>
    </row>
    <row r="146" spans="2:11" s="16" customFormat="1">
      <c r="B146" s="48" t="s">
        <v>238</v>
      </c>
      <c r="C146" s="62">
        <f t="shared" si="15"/>
        <v>5.3414356232294609E-8</v>
      </c>
      <c r="D146" s="62">
        <f t="shared" si="16"/>
        <v>2.3395488029745038E-7</v>
      </c>
      <c r="E146" s="82">
        <v>1.6289999999999999E-2</v>
      </c>
      <c r="F146" s="52" t="s">
        <v>245</v>
      </c>
      <c r="G146" s="301" t="s">
        <v>246</v>
      </c>
      <c r="I146" s="304"/>
      <c r="J146" s="304"/>
      <c r="K146" s="304"/>
    </row>
    <row r="147" spans="2:11" s="16" customFormat="1">
      <c r="B147" s="48" t="s">
        <v>239</v>
      </c>
      <c r="C147" s="62">
        <f t="shared" si="15"/>
        <v>8.8532082152974484E-10</v>
      </c>
      <c r="D147" s="62">
        <f t="shared" si="16"/>
        <v>3.8777051983002824E-9</v>
      </c>
      <c r="E147" s="82">
        <v>2.7E-4</v>
      </c>
      <c r="F147" s="52" t="s">
        <v>245</v>
      </c>
      <c r="G147" s="301" t="s">
        <v>246</v>
      </c>
      <c r="I147" s="304"/>
      <c r="J147" s="304"/>
      <c r="K147" s="304"/>
    </row>
    <row r="148" spans="2:11" s="16" customFormat="1">
      <c r="B148" s="48" t="s">
        <v>91</v>
      </c>
      <c r="C148" s="62">
        <f t="shared" si="15"/>
        <v>2.2821603399433421E-8</v>
      </c>
      <c r="D148" s="62">
        <f t="shared" si="16"/>
        <v>9.9958622889518393E-8</v>
      </c>
      <c r="E148" s="82">
        <v>6.96E-3</v>
      </c>
      <c r="F148" s="52" t="s">
        <v>245</v>
      </c>
      <c r="G148" s="301" t="s">
        <v>246</v>
      </c>
      <c r="I148" s="304"/>
      <c r="J148" s="304"/>
      <c r="K148" s="304"/>
    </row>
    <row r="149" spans="2:11" s="16" customFormat="1">
      <c r="B149" s="48" t="s">
        <v>240</v>
      </c>
      <c r="C149" s="62">
        <f t="shared" si="15"/>
        <v>1.0954041735127475E-6</v>
      </c>
      <c r="D149" s="62">
        <f t="shared" si="16"/>
        <v>4.7978702799858342E-6</v>
      </c>
      <c r="E149" s="82">
        <v>0.33406999999999998</v>
      </c>
      <c r="F149" s="52" t="s">
        <v>245</v>
      </c>
      <c r="G149" s="301" t="s">
        <v>246</v>
      </c>
      <c r="I149" s="304"/>
      <c r="J149" s="304"/>
      <c r="K149" s="304"/>
    </row>
    <row r="150" spans="2:11" s="16" customFormat="1">
      <c r="B150" s="48" t="s">
        <v>241</v>
      </c>
      <c r="C150" s="62">
        <f t="shared" si="15"/>
        <v>1.1050115439093482E-12</v>
      </c>
      <c r="D150" s="62">
        <f t="shared" si="16"/>
        <v>4.8399505623229451E-12</v>
      </c>
      <c r="E150" s="82">
        <v>3.3700000000000001E-7</v>
      </c>
      <c r="F150" s="52" t="s">
        <v>245</v>
      </c>
      <c r="G150" s="301" t="s">
        <v>246</v>
      </c>
      <c r="I150" s="304"/>
      <c r="J150" s="304"/>
      <c r="K150" s="304"/>
    </row>
    <row r="151" spans="2:11" s="16" customFormat="1">
      <c r="B151" s="48" t="s">
        <v>242</v>
      </c>
      <c r="C151" s="62">
        <f t="shared" si="15"/>
        <v>5.5742422096317273E-10</v>
      </c>
      <c r="D151" s="62">
        <f t="shared" si="16"/>
        <v>2.4415180878186966E-9</v>
      </c>
      <c r="E151" s="82">
        <v>1.7000000000000001E-4</v>
      </c>
      <c r="F151" s="52" t="s">
        <v>245</v>
      </c>
      <c r="G151" s="301" t="s">
        <v>246</v>
      </c>
      <c r="I151" s="304"/>
      <c r="J151" s="304"/>
      <c r="K151" s="304"/>
    </row>
    <row r="152" spans="2:11" s="16" customFormat="1">
      <c r="B152" s="48" t="s">
        <v>243</v>
      </c>
      <c r="C152" s="62">
        <f t="shared" si="15"/>
        <v>3.9347592067988657E-10</v>
      </c>
      <c r="D152" s="62">
        <f t="shared" si="16"/>
        <v>1.7234245325779034E-9</v>
      </c>
      <c r="E152" s="82">
        <v>1.2E-4</v>
      </c>
      <c r="F152" s="52" t="s">
        <v>245</v>
      </c>
      <c r="G152" s="301" t="s">
        <v>246</v>
      </c>
      <c r="I152" s="304"/>
      <c r="J152" s="304"/>
      <c r="K152" s="304"/>
    </row>
    <row r="153" spans="2:11" s="16" customFormat="1">
      <c r="B153" s="48" t="s">
        <v>244</v>
      </c>
      <c r="C153" s="62">
        <f t="shared" si="15"/>
        <v>6.9432105169971654E-7</v>
      </c>
      <c r="D153" s="62">
        <f t="shared" si="16"/>
        <v>3.0411262064447588E-6</v>
      </c>
      <c r="E153" s="82">
        <v>0.21174999999999999</v>
      </c>
      <c r="F153" s="52" t="s">
        <v>245</v>
      </c>
      <c r="G153" s="301" t="s">
        <v>246</v>
      </c>
      <c r="I153" s="304"/>
      <c r="J153" s="304"/>
      <c r="K153" s="304"/>
    </row>
    <row r="154" spans="2:11" s="16" customFormat="1">
      <c r="B154" s="58"/>
      <c r="C154" s="64"/>
      <c r="D154" s="65"/>
      <c r="E154" s="50"/>
      <c r="F154" s="60"/>
      <c r="G154" s="300"/>
      <c r="I154" s="304"/>
      <c r="J154" s="304"/>
      <c r="K154" s="304"/>
    </row>
    <row r="155" spans="2:11" s="16" customFormat="1">
      <c r="B155" s="43" t="s">
        <v>44</v>
      </c>
      <c r="C155" s="44"/>
      <c r="D155" s="68"/>
      <c r="E155" s="69"/>
      <c r="F155" s="46"/>
      <c r="G155" s="300"/>
      <c r="I155" s="304"/>
      <c r="J155" s="304"/>
      <c r="K155" s="304"/>
    </row>
    <row r="156" spans="2:11" s="16" customFormat="1" ht="14.25">
      <c r="B156" s="70" t="s">
        <v>150</v>
      </c>
      <c r="C156" s="71">
        <f>D156/$C$12*2000</f>
        <v>299362.17842465034</v>
      </c>
      <c r="D156" s="72">
        <f>E156*'Key Inputs'!$D$45*$C$16/2000</f>
        <v>1311206.3414999684</v>
      </c>
      <c r="E156" s="323">
        <f>CONVERT(274.32,"kg","lbm")</f>
        <v>604.77207762555622</v>
      </c>
      <c r="F156" s="52" t="s">
        <v>45</v>
      </c>
      <c r="G156" s="314" t="s">
        <v>282</v>
      </c>
      <c r="I156" s="304"/>
      <c r="J156" s="304"/>
      <c r="K156" s="304"/>
    </row>
    <row r="157" spans="2:11" s="16" customFormat="1" ht="14.25">
      <c r="B157" s="70" t="s">
        <v>151</v>
      </c>
      <c r="C157" s="49">
        <f>D157/$C$12*2000</f>
        <v>2.4008340351933166E-2</v>
      </c>
      <c r="D157" s="50">
        <f>E157*'Key Inputs'!$D$45*$C$16/2000</f>
        <v>0.10515653074146726</v>
      </c>
      <c r="E157" s="768">
        <f>CONVERT(0.000022,"kg","lbm")</f>
        <v>4.8501697680673063E-5</v>
      </c>
      <c r="F157" s="52" t="s">
        <v>45</v>
      </c>
      <c r="G157" s="314" t="s">
        <v>103</v>
      </c>
      <c r="I157" s="304"/>
      <c r="J157" s="304"/>
      <c r="K157" s="304"/>
    </row>
    <row r="158" spans="2:11" s="16" customFormat="1" ht="14.25">
      <c r="B158" s="70" t="s">
        <v>152</v>
      </c>
      <c r="C158" s="49">
        <f>D158/$C$12*2000</f>
        <v>0.1091288197815144</v>
      </c>
      <c r="D158" s="50">
        <f>E158*'Key Inputs'!$D$45*$C$16/2000</f>
        <v>0.47798423064303308</v>
      </c>
      <c r="E158" s="325">
        <f>CONVERT(0.0001,"kg","lbm")</f>
        <v>2.2046226218487756E-4</v>
      </c>
      <c r="F158" s="52" t="s">
        <v>45</v>
      </c>
      <c r="G158" s="314" t="s">
        <v>103</v>
      </c>
      <c r="I158" s="304"/>
      <c r="J158" s="304"/>
      <c r="K158" s="304"/>
    </row>
    <row r="159" spans="2:11" s="16" customFormat="1" ht="14.25">
      <c r="B159" s="70" t="s">
        <v>153</v>
      </c>
      <c r="C159" s="71">
        <f>D159/$C$12*2000</f>
        <v>299395.299021454</v>
      </c>
      <c r="D159" s="73">
        <f>D156*'Key Inputs'!$C$62+D157*'Key Inputs'!$C$63+D158*'Key Inputs'!$C$64</f>
        <v>1311351.4097139684</v>
      </c>
      <c r="E159" s="74" t="s">
        <v>46</v>
      </c>
      <c r="F159" s="75" t="s">
        <v>46</v>
      </c>
      <c r="G159" s="300" t="s">
        <v>47</v>
      </c>
      <c r="I159" s="304"/>
      <c r="J159" s="304"/>
      <c r="K159" s="304"/>
    </row>
    <row r="160" spans="2:11" s="18" customFormat="1" ht="6" customHeight="1" thickBot="1">
      <c r="B160" s="38"/>
      <c r="C160" s="76"/>
      <c r="D160" s="77"/>
      <c r="E160" s="78"/>
      <c r="F160" s="78"/>
      <c r="G160" s="299"/>
      <c r="I160" s="307"/>
      <c r="J160" s="307"/>
      <c r="K160" s="307"/>
    </row>
  </sheetData>
  <mergeCells count="2">
    <mergeCell ref="I22:K22"/>
    <mergeCell ref="I59:K59"/>
  </mergeCells>
  <pageMargins left="0.2" right="0.2" top="0.25" bottom="0.25" header="0.05" footer="0.05"/>
  <pageSetup scale="60" fitToHeight="3" orientation="portrait" horizontalDpi="1200" verticalDpi="1200" r:id="rId1"/>
  <rowBreaks count="1" manualBreakCount="1">
    <brk id="110" max="6"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41"/>
  <sheetViews>
    <sheetView topLeftCell="A13" zoomScaleNormal="100" zoomScaleSheetLayoutView="100" workbookViewId="0">
      <selection activeCell="L23" sqref="L23"/>
    </sheetView>
  </sheetViews>
  <sheetFormatPr defaultColWidth="9.140625" defaultRowHeight="12.75"/>
  <cols>
    <col min="1" max="1" width="2.42578125" style="90" customWidth="1"/>
    <col min="2" max="2" width="43.7109375" style="90" customWidth="1"/>
    <col min="3" max="6" width="13.140625" style="90" customWidth="1"/>
    <col min="7" max="7" width="63.5703125" style="90" bestFit="1" customWidth="1"/>
    <col min="8" max="8" width="9.140625" style="92"/>
    <col min="9" max="16384" width="9.140625" style="90"/>
  </cols>
  <sheetData>
    <row r="1" spans="2:8" s="1" customFormat="1" ht="11.25" customHeight="1">
      <c r="H1" s="304"/>
    </row>
    <row r="2" spans="2:8" s="6" customFormat="1">
      <c r="B2" s="5" t="str">
        <f>'Key Inputs'!B2</f>
        <v>Company Name:</v>
      </c>
      <c r="C2" s="279" t="str">
        <f>'Key Inputs'!C2</f>
        <v>U. S. Steel Corp.</v>
      </c>
      <c r="F2" s="5"/>
      <c r="H2" s="305"/>
    </row>
    <row r="3" spans="2:8" s="6" customFormat="1">
      <c r="B3" s="5" t="str">
        <f>'Key Inputs'!B3</f>
        <v>Site Name:</v>
      </c>
      <c r="C3" s="279" t="str">
        <f>'Key Inputs'!C3</f>
        <v>Edgar Thomson Plant</v>
      </c>
      <c r="F3" s="5"/>
      <c r="H3" s="305"/>
    </row>
    <row r="4" spans="2:8" s="6" customFormat="1">
      <c r="B4" s="5" t="str">
        <f>'Key Inputs'!B4</f>
        <v>Description:</v>
      </c>
      <c r="C4" s="279" t="str">
        <f>'Key Inputs'!C4</f>
        <v>Title V Permit Renewal</v>
      </c>
      <c r="F4" s="5"/>
      <c r="H4" s="305"/>
    </row>
    <row r="5" spans="2:8" s="6" customFormat="1">
      <c r="B5" s="5" t="str">
        <f>'Key Inputs'!B5</f>
        <v>Date:</v>
      </c>
      <c r="C5" s="281" t="str">
        <f>'Key Inputs'!C5</f>
        <v>10/7/2020 - DRAFT</v>
      </c>
      <c r="F5" s="5"/>
      <c r="H5" s="305"/>
    </row>
    <row r="6" spans="2:8" s="6" customFormat="1">
      <c r="B6" s="5"/>
      <c r="C6" s="5"/>
      <c r="D6" s="5"/>
      <c r="F6" s="5"/>
      <c r="H6" s="305"/>
    </row>
    <row r="7" spans="2:8" s="11" customFormat="1">
      <c r="B7" s="85" t="s">
        <v>304</v>
      </c>
      <c r="C7" s="10"/>
      <c r="D7" s="10"/>
      <c r="F7" s="10"/>
      <c r="H7" s="306"/>
    </row>
    <row r="8" spans="2:8" s="16" customFormat="1">
      <c r="B8" s="14"/>
      <c r="C8" s="15"/>
      <c r="H8" s="304"/>
    </row>
    <row r="9" spans="2:8" s="18" customFormat="1" ht="16.5" customHeight="1">
      <c r="B9" s="20" t="s">
        <v>25</v>
      </c>
      <c r="C9" s="20" t="s">
        <v>301</v>
      </c>
      <c r="D9" s="20"/>
      <c r="E9" s="21"/>
      <c r="F9" s="21"/>
      <c r="H9" s="307"/>
    </row>
    <row r="10" spans="2:8" s="18" customFormat="1">
      <c r="B10" s="20" t="s">
        <v>56</v>
      </c>
      <c r="C10" s="23" t="s">
        <v>300</v>
      </c>
      <c r="D10" s="20"/>
      <c r="E10" s="21"/>
      <c r="F10" s="21"/>
      <c r="H10" s="307"/>
    </row>
    <row r="11" spans="2:8" s="18" customFormat="1">
      <c r="B11" s="20" t="s">
        <v>291</v>
      </c>
      <c r="C11" s="23" t="s">
        <v>297</v>
      </c>
      <c r="D11" s="20"/>
      <c r="E11" s="21"/>
      <c r="F11" s="21"/>
      <c r="H11" s="307"/>
    </row>
    <row r="12" spans="2:8" s="18" customFormat="1">
      <c r="B12" s="20" t="s">
        <v>26</v>
      </c>
      <c r="C12" s="24">
        <f>'Key Inputs'!$G$21</f>
        <v>8760</v>
      </c>
      <c r="D12" s="21" t="s">
        <v>10</v>
      </c>
      <c r="E12" s="21"/>
      <c r="F12" s="21"/>
      <c r="G12" s="87"/>
      <c r="H12" s="307"/>
    </row>
    <row r="13" spans="2:8" s="18" customFormat="1" ht="15" customHeight="1">
      <c r="B13" s="20" t="s">
        <v>14</v>
      </c>
      <c r="C13" s="335" t="s">
        <v>298</v>
      </c>
      <c r="D13" s="21"/>
      <c r="E13" s="21"/>
      <c r="F13" s="21"/>
      <c r="G13" s="87"/>
      <c r="H13" s="307"/>
    </row>
    <row r="14" spans="2:8" s="18" customFormat="1">
      <c r="B14" s="20" t="s">
        <v>95</v>
      </c>
      <c r="C14" s="24">
        <v>3504000</v>
      </c>
      <c r="D14" s="21" t="s">
        <v>299</v>
      </c>
      <c r="E14" s="21"/>
      <c r="F14" s="21"/>
      <c r="H14" s="307" t="s">
        <v>255</v>
      </c>
    </row>
    <row r="15" spans="2:8" s="18" customFormat="1">
      <c r="B15" s="20"/>
      <c r="C15" s="24"/>
      <c r="D15" s="21"/>
      <c r="E15" s="21"/>
      <c r="F15" s="21"/>
      <c r="H15" s="307"/>
    </row>
    <row r="16" spans="2:8" s="18" customFormat="1" ht="6" customHeight="1" thickBot="1">
      <c r="D16" s="27"/>
      <c r="E16" s="25"/>
      <c r="F16" s="25"/>
      <c r="H16" s="307"/>
    </row>
    <row r="17" spans="2:11" s="18" customFormat="1" ht="6" customHeight="1">
      <c r="B17" s="28"/>
      <c r="C17" s="29"/>
      <c r="D17" s="30"/>
      <c r="E17" s="31"/>
      <c r="F17" s="31"/>
      <c r="G17" s="32"/>
      <c r="H17" s="307"/>
    </row>
    <row r="18" spans="2:11" s="37" customFormat="1" ht="41.45" customHeight="1">
      <c r="B18" s="33" t="s">
        <v>32</v>
      </c>
      <c r="C18" s="34" t="s">
        <v>97</v>
      </c>
      <c r="D18" s="34" t="s">
        <v>33</v>
      </c>
      <c r="E18" s="34" t="s">
        <v>34</v>
      </c>
      <c r="F18" s="34" t="s">
        <v>35</v>
      </c>
      <c r="G18" s="35" t="s">
        <v>36</v>
      </c>
      <c r="H18" s="308"/>
    </row>
    <row r="19" spans="2:11" s="18" customFormat="1" ht="6" customHeight="1" thickBot="1">
      <c r="B19" s="38"/>
      <c r="C19" s="39"/>
      <c r="D19" s="40"/>
      <c r="E19" s="41"/>
      <c r="F19" s="41"/>
      <c r="G19" s="42"/>
      <c r="H19" s="307"/>
    </row>
    <row r="20" spans="2:11" s="18" customFormat="1" ht="6" customHeight="1">
      <c r="B20" s="28"/>
      <c r="C20" s="29"/>
      <c r="D20" s="30"/>
      <c r="E20" s="31"/>
      <c r="F20" s="31"/>
      <c r="G20" s="32"/>
      <c r="H20" s="307"/>
    </row>
    <row r="21" spans="2:11" s="16" customFormat="1">
      <c r="B21" s="43" t="s">
        <v>37</v>
      </c>
      <c r="C21" s="44"/>
      <c r="D21" s="45"/>
      <c r="E21" s="46"/>
      <c r="F21" s="46"/>
      <c r="G21" s="47"/>
      <c r="H21" s="304"/>
    </row>
    <row r="22" spans="2:11" s="16" customFormat="1">
      <c r="B22" s="48" t="s">
        <v>228</v>
      </c>
      <c r="C22" s="49">
        <v>7</v>
      </c>
      <c r="D22" s="50">
        <v>18.25</v>
      </c>
      <c r="E22" s="577" t="s">
        <v>21</v>
      </c>
      <c r="F22" s="578" t="s">
        <v>21</v>
      </c>
      <c r="G22" s="301" t="s">
        <v>738</v>
      </c>
      <c r="H22" s="304"/>
    </row>
    <row r="23" spans="2:11" s="16" customFormat="1" ht="14.25">
      <c r="B23" s="48" t="s">
        <v>229</v>
      </c>
      <c r="C23" s="49">
        <v>7</v>
      </c>
      <c r="D23" s="50">
        <v>18.25</v>
      </c>
      <c r="E23" s="577" t="s">
        <v>21</v>
      </c>
      <c r="F23" s="578" t="s">
        <v>21</v>
      </c>
      <c r="G23" s="301" t="s">
        <v>738</v>
      </c>
      <c r="H23" s="304"/>
    </row>
    <row r="24" spans="2:11" s="16" customFormat="1" ht="14.25">
      <c r="B24" s="48" t="s">
        <v>230</v>
      </c>
      <c r="C24" s="49">
        <v>7</v>
      </c>
      <c r="D24" s="50">
        <v>18.25</v>
      </c>
      <c r="E24" s="577" t="s">
        <v>21</v>
      </c>
      <c r="F24" s="578" t="s">
        <v>21</v>
      </c>
      <c r="G24" s="301" t="s">
        <v>739</v>
      </c>
      <c r="H24" s="304"/>
    </row>
    <row r="25" spans="2:11">
      <c r="B25" s="48" t="s">
        <v>65</v>
      </c>
      <c r="C25" s="95">
        <f t="shared" ref="C25" si="0">D25*2000/$C$12</f>
        <v>0.46</v>
      </c>
      <c r="D25" s="94">
        <f>E25*$C$14/2000</f>
        <v>2.0148000000000001</v>
      </c>
      <c r="E25" s="337">
        <f>0.001*(1+'Key Inputs'!$G$2)</f>
        <v>1.15E-3</v>
      </c>
      <c r="F25" s="95" t="s">
        <v>96</v>
      </c>
      <c r="G25" s="159" t="s">
        <v>302</v>
      </c>
    </row>
    <row r="26" spans="2:11">
      <c r="B26" s="48"/>
      <c r="C26" s="158"/>
      <c r="D26" s="158"/>
      <c r="E26" s="158"/>
      <c r="F26" s="158"/>
      <c r="G26" s="159"/>
    </row>
    <row r="27" spans="2:11" s="16" customFormat="1">
      <c r="B27" s="43" t="s">
        <v>41</v>
      </c>
      <c r="C27" s="49"/>
      <c r="D27" s="50"/>
      <c r="E27" s="80"/>
      <c r="F27" s="52"/>
      <c r="G27" s="301"/>
      <c r="I27" s="304"/>
      <c r="J27" s="304"/>
      <c r="K27" s="304"/>
    </row>
    <row r="28" spans="2:11" s="16" customFormat="1">
      <c r="B28" s="58" t="s">
        <v>86</v>
      </c>
      <c r="C28" s="49"/>
      <c r="D28" s="50"/>
      <c r="E28" s="80"/>
      <c r="F28" s="52"/>
      <c r="G28" s="301"/>
      <c r="I28" s="304"/>
      <c r="J28" s="304"/>
      <c r="K28" s="304"/>
    </row>
    <row r="29" spans="2:11" s="16" customFormat="1">
      <c r="B29" s="48" t="s">
        <v>234</v>
      </c>
      <c r="C29" s="62">
        <f>$C$22*E29%</f>
        <v>7.2874025000000002E-5</v>
      </c>
      <c r="D29" s="62">
        <f>$D$22*E29%</f>
        <v>1.8999299375000001E-4</v>
      </c>
      <c r="E29" s="82">
        <v>1.0410574999999999E-3</v>
      </c>
      <c r="F29" s="52" t="s">
        <v>245</v>
      </c>
      <c r="G29" s="301" t="s">
        <v>303</v>
      </c>
      <c r="I29" s="304"/>
      <c r="J29" s="304"/>
      <c r="K29" s="304"/>
    </row>
    <row r="30" spans="2:11" s="16" customFormat="1">
      <c r="B30" s="48" t="s">
        <v>235</v>
      </c>
      <c r="C30" s="62">
        <f t="shared" ref="C30:C40" si="1">$C$22*E30%</f>
        <v>1.0210742500000001E-4</v>
      </c>
      <c r="D30" s="62">
        <f t="shared" ref="D30:D40" si="2">$D$22*E30%</f>
        <v>2.6620864375000007E-4</v>
      </c>
      <c r="E30" s="82">
        <v>1.4586775000000002E-3</v>
      </c>
      <c r="F30" s="52" t="s">
        <v>245</v>
      </c>
      <c r="G30" s="301" t="s">
        <v>303</v>
      </c>
      <c r="I30" s="304"/>
      <c r="J30" s="304"/>
      <c r="K30" s="304"/>
    </row>
    <row r="31" spans="2:11" s="16" customFormat="1">
      <c r="B31" s="48" t="s">
        <v>236</v>
      </c>
      <c r="C31" s="62">
        <f t="shared" si="1"/>
        <v>8.483737499999999E-6</v>
      </c>
      <c r="D31" s="62">
        <f t="shared" si="2"/>
        <v>2.2118315625E-5</v>
      </c>
      <c r="E31" s="82">
        <v>1.2119625E-4</v>
      </c>
      <c r="F31" s="52" t="s">
        <v>245</v>
      </c>
      <c r="G31" s="301" t="s">
        <v>303</v>
      </c>
      <c r="I31" s="304"/>
      <c r="J31" s="304"/>
      <c r="K31" s="304"/>
    </row>
    <row r="32" spans="2:11" s="16" customFormat="1">
      <c r="B32" s="48" t="s">
        <v>237</v>
      </c>
      <c r="C32" s="62">
        <f t="shared" si="1"/>
        <v>2.9349775E-5</v>
      </c>
      <c r="D32" s="62">
        <f t="shared" si="2"/>
        <v>7.6519056249999996E-5</v>
      </c>
      <c r="E32" s="82">
        <v>4.192825E-4</v>
      </c>
      <c r="F32" s="52" t="s">
        <v>245</v>
      </c>
      <c r="G32" s="301" t="s">
        <v>303</v>
      </c>
      <c r="I32" s="304"/>
      <c r="J32" s="304"/>
      <c r="K32" s="304"/>
    </row>
    <row r="33" spans="2:11" s="16" customFormat="1">
      <c r="B33" s="48" t="s">
        <v>238</v>
      </c>
      <c r="C33" s="62">
        <f t="shared" si="1"/>
        <v>5.6674625000000011E-4</v>
      </c>
      <c r="D33" s="62">
        <f t="shared" si="2"/>
        <v>1.4775884375000004E-3</v>
      </c>
      <c r="E33" s="82">
        <v>8.0963750000000011E-3</v>
      </c>
      <c r="F33" s="52" t="s">
        <v>245</v>
      </c>
      <c r="G33" s="301" t="s">
        <v>303</v>
      </c>
      <c r="I33" s="304"/>
      <c r="J33" s="304"/>
      <c r="K33" s="304"/>
    </row>
    <row r="34" spans="2:11" s="16" customFormat="1">
      <c r="B34" s="48" t="s">
        <v>239</v>
      </c>
      <c r="C34" s="62">
        <f t="shared" si="1"/>
        <v>2.4974075E-5</v>
      </c>
      <c r="D34" s="62">
        <f t="shared" si="2"/>
        <v>6.5110981250000001E-5</v>
      </c>
      <c r="E34" s="82">
        <v>3.567725E-4</v>
      </c>
      <c r="F34" s="52" t="s">
        <v>245</v>
      </c>
      <c r="G34" s="301" t="s">
        <v>303</v>
      </c>
      <c r="I34" s="304"/>
      <c r="J34" s="304"/>
      <c r="K34" s="304"/>
    </row>
    <row r="35" spans="2:11" s="16" customFormat="1">
      <c r="B35" s="48" t="s">
        <v>91</v>
      </c>
      <c r="C35" s="62">
        <f t="shared" si="1"/>
        <v>1.5314950000000003E-4</v>
      </c>
      <c r="D35" s="62">
        <f t="shared" si="2"/>
        <v>3.9928262500000009E-4</v>
      </c>
      <c r="E35" s="82">
        <v>2.1878500000000003E-3</v>
      </c>
      <c r="F35" s="52" t="s">
        <v>245</v>
      </c>
      <c r="G35" s="301" t="s">
        <v>303</v>
      </c>
      <c r="I35" s="304"/>
      <c r="J35" s="304"/>
      <c r="K35" s="304"/>
    </row>
    <row r="36" spans="2:11" s="16" customFormat="1">
      <c r="B36" s="48" t="s">
        <v>240</v>
      </c>
      <c r="C36" s="62">
        <f t="shared" si="1"/>
        <v>1.7456250000000003E-2</v>
      </c>
      <c r="D36" s="62">
        <f t="shared" si="2"/>
        <v>4.5510937500000008E-2</v>
      </c>
      <c r="E36" s="82">
        <v>0.24937500000000001</v>
      </c>
      <c r="F36" s="52" t="s">
        <v>245</v>
      </c>
      <c r="G36" s="301" t="s">
        <v>303</v>
      </c>
      <c r="I36" s="304"/>
      <c r="J36" s="304"/>
      <c r="K36" s="304"/>
    </row>
    <row r="37" spans="2:11" s="16" customFormat="1">
      <c r="B37" s="48" t="s">
        <v>241</v>
      </c>
      <c r="C37" s="62">
        <f t="shared" si="1"/>
        <v>2.5993520000000004E-7</v>
      </c>
      <c r="D37" s="62">
        <f t="shared" si="2"/>
        <v>6.7768820000000006E-7</v>
      </c>
      <c r="E37" s="82">
        <v>3.7133600000000005E-6</v>
      </c>
      <c r="F37" s="52" t="s">
        <v>245</v>
      </c>
      <c r="G37" s="301" t="s">
        <v>303</v>
      </c>
      <c r="I37" s="304"/>
      <c r="J37" s="304"/>
      <c r="K37" s="304"/>
    </row>
    <row r="38" spans="2:11" s="16" customFormat="1">
      <c r="B38" s="48" t="s">
        <v>242</v>
      </c>
      <c r="C38" s="62">
        <f t="shared" si="1"/>
        <v>2.6905900000000003E-5</v>
      </c>
      <c r="D38" s="62">
        <f t="shared" si="2"/>
        <v>7.0147525000000007E-5</v>
      </c>
      <c r="E38" s="82">
        <v>3.8437000000000003E-4</v>
      </c>
      <c r="F38" s="52" t="s">
        <v>245</v>
      </c>
      <c r="G38" s="301" t="s">
        <v>303</v>
      </c>
      <c r="I38" s="304"/>
      <c r="J38" s="304"/>
      <c r="K38" s="304"/>
    </row>
    <row r="39" spans="2:11" s="16" customFormat="1">
      <c r="B39" s="48" t="s">
        <v>243</v>
      </c>
      <c r="C39" s="62">
        <f t="shared" si="1"/>
        <v>8.6233875000000003E-6</v>
      </c>
      <c r="D39" s="62">
        <f t="shared" si="2"/>
        <v>2.2482403125000001E-5</v>
      </c>
      <c r="E39" s="82">
        <v>1.2319125000000001E-4</v>
      </c>
      <c r="F39" s="52" t="s">
        <v>245</v>
      </c>
      <c r="G39" s="301" t="s">
        <v>303</v>
      </c>
      <c r="I39" s="304"/>
      <c r="J39" s="304"/>
      <c r="K39" s="304"/>
    </row>
    <row r="40" spans="2:11" s="16" customFormat="1">
      <c r="B40" s="48" t="s">
        <v>244</v>
      </c>
      <c r="C40" s="62">
        <f t="shared" si="1"/>
        <v>1.54E-2</v>
      </c>
      <c r="D40" s="62">
        <f t="shared" si="2"/>
        <v>4.0150000000000005E-2</v>
      </c>
      <c r="E40" s="82">
        <v>0.22</v>
      </c>
      <c r="F40" s="52" t="s">
        <v>245</v>
      </c>
      <c r="G40" s="301" t="s">
        <v>303</v>
      </c>
      <c r="I40" s="304"/>
      <c r="J40" s="304"/>
      <c r="K40" s="304"/>
    </row>
    <row r="41" spans="2:11" ht="6" customHeight="1" thickBot="1">
      <c r="B41" s="164"/>
      <c r="C41" s="165"/>
      <c r="D41" s="165"/>
      <c r="E41" s="165"/>
      <c r="F41" s="165"/>
      <c r="G41" s="167"/>
    </row>
  </sheetData>
  <pageMargins left="0.2" right="0.2" top="0.25" bottom="0.25" header="0.05" footer="0.05"/>
  <pageSetup scale="75" fitToWidth="0" fitToHeight="0" orientation="landscape"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2D15-A2D1-4578-B0F7-A490F73268BE}">
  <dimension ref="B1:K48"/>
  <sheetViews>
    <sheetView topLeftCell="A28" zoomScaleNormal="100" zoomScaleSheetLayoutView="100" workbookViewId="0">
      <selection activeCell="F12" sqref="F12"/>
    </sheetView>
  </sheetViews>
  <sheetFormatPr defaultColWidth="9.140625" defaultRowHeight="12.75"/>
  <cols>
    <col min="1" max="1" width="2.42578125" style="90" customWidth="1"/>
    <col min="2" max="2" width="43.7109375" style="90" customWidth="1"/>
    <col min="3" max="6" width="13.140625" style="90" customWidth="1"/>
    <col min="7" max="7" width="63.5703125" style="90" bestFit="1" customWidth="1"/>
    <col min="8" max="8" width="9.140625" style="92"/>
    <col min="9" max="9" width="9.140625" style="90"/>
    <col min="10" max="11" width="13" style="90" bestFit="1" customWidth="1"/>
    <col min="12" max="16384" width="9.140625" style="90"/>
  </cols>
  <sheetData>
    <row r="1" spans="2:8" s="1" customFormat="1" ht="11.25" customHeight="1">
      <c r="H1" s="304"/>
    </row>
    <row r="2" spans="2:8" s="6" customFormat="1">
      <c r="B2" s="5" t="str">
        <f>'Key Inputs'!B2</f>
        <v>Company Name:</v>
      </c>
      <c r="C2" s="279" t="str">
        <f>'Key Inputs'!C2</f>
        <v>U. S. Steel Corp.</v>
      </c>
      <c r="F2" s="5"/>
      <c r="H2" s="305"/>
    </row>
    <row r="3" spans="2:8" s="6" customFormat="1">
      <c r="B3" s="5" t="str">
        <f>'Key Inputs'!B3</f>
        <v>Site Name:</v>
      </c>
      <c r="C3" s="279" t="str">
        <f>'Key Inputs'!C3</f>
        <v>Edgar Thomson Plant</v>
      </c>
      <c r="F3" s="5"/>
      <c r="H3" s="305"/>
    </row>
    <row r="4" spans="2:8" s="6" customFormat="1">
      <c r="B4" s="5" t="str">
        <f>'Key Inputs'!B4</f>
        <v>Description:</v>
      </c>
      <c r="C4" s="279" t="str">
        <f>'Key Inputs'!C4</f>
        <v>Title V Permit Renewal</v>
      </c>
      <c r="F4" s="5"/>
      <c r="H4" s="305"/>
    </row>
    <row r="5" spans="2:8" s="6" customFormat="1">
      <c r="B5" s="5" t="str">
        <f>'Key Inputs'!B5</f>
        <v>Date:</v>
      </c>
      <c r="C5" s="281" t="str">
        <f>'Key Inputs'!C5</f>
        <v>10/7/2020 - DRAFT</v>
      </c>
      <c r="F5" s="5"/>
      <c r="H5" s="305"/>
    </row>
    <row r="6" spans="2:8" s="6" customFormat="1">
      <c r="B6" s="5"/>
      <c r="C6" s="5"/>
      <c r="D6" s="5"/>
      <c r="F6" s="5"/>
      <c r="H6" s="305"/>
    </row>
    <row r="7" spans="2:8" s="11" customFormat="1">
      <c r="B7" s="85" t="s">
        <v>305</v>
      </c>
      <c r="C7" s="10"/>
      <c r="D7" s="10"/>
      <c r="F7" s="10"/>
      <c r="H7" s="306"/>
    </row>
    <row r="8" spans="2:8" s="16" customFormat="1">
      <c r="B8" s="14"/>
      <c r="C8" s="15"/>
      <c r="H8" s="304"/>
    </row>
    <row r="9" spans="2:8" s="18" customFormat="1" ht="16.5" customHeight="1">
      <c r="B9" s="20" t="s">
        <v>25</v>
      </c>
      <c r="C9" s="20" t="s">
        <v>306</v>
      </c>
      <c r="D9" s="20"/>
      <c r="E9" s="21"/>
      <c r="F9" s="21"/>
      <c r="H9" s="307"/>
    </row>
    <row r="10" spans="2:8" s="18" customFormat="1">
      <c r="B10" s="20" t="s">
        <v>56</v>
      </c>
      <c r="C10" s="23" t="s">
        <v>307</v>
      </c>
      <c r="D10" s="20"/>
      <c r="E10" s="21"/>
      <c r="F10" s="21"/>
      <c r="H10" s="307"/>
    </row>
    <row r="11" spans="2:8" s="18" customFormat="1">
      <c r="B11" s="20" t="s">
        <v>291</v>
      </c>
      <c r="C11" s="23" t="s">
        <v>310</v>
      </c>
      <c r="D11" s="20"/>
      <c r="E11" s="21"/>
      <c r="F11" s="21"/>
      <c r="H11" s="307"/>
    </row>
    <row r="12" spans="2:8" s="18" customFormat="1">
      <c r="B12" s="20" t="s">
        <v>26</v>
      </c>
      <c r="C12" s="24">
        <f>'Key Inputs'!$G$21</f>
        <v>8760</v>
      </c>
      <c r="D12" s="21" t="s">
        <v>10</v>
      </c>
      <c r="E12" s="21"/>
      <c r="F12" s="21"/>
      <c r="G12" s="87"/>
      <c r="H12" s="307"/>
    </row>
    <row r="13" spans="2:8" s="18" customFormat="1" ht="15" customHeight="1">
      <c r="B13" s="20" t="s">
        <v>14</v>
      </c>
      <c r="C13" s="335" t="s">
        <v>308</v>
      </c>
      <c r="D13" s="21"/>
      <c r="E13" s="21"/>
      <c r="F13" s="21"/>
      <c r="G13" s="87"/>
      <c r="H13" s="307"/>
    </row>
    <row r="14" spans="2:8" s="18" customFormat="1">
      <c r="B14" s="20" t="s">
        <v>445</v>
      </c>
      <c r="C14" s="24">
        <v>3467500</v>
      </c>
      <c r="D14" s="21" t="s">
        <v>316</v>
      </c>
      <c r="E14" s="21"/>
      <c r="F14" s="21"/>
      <c r="H14" s="307" t="s">
        <v>309</v>
      </c>
    </row>
    <row r="15" spans="2:8" s="18" customFormat="1">
      <c r="B15" s="20" t="s">
        <v>446</v>
      </c>
      <c r="C15" s="24">
        <f>K25</f>
        <v>66748.651366179911</v>
      </c>
      <c r="D15" s="21" t="s">
        <v>447</v>
      </c>
      <c r="E15" s="21"/>
      <c r="F15" s="21"/>
      <c r="H15" s="307" t="s">
        <v>789</v>
      </c>
    </row>
    <row r="16" spans="2:8" s="18" customFormat="1">
      <c r="B16" s="20"/>
      <c r="C16" s="24"/>
      <c r="D16" s="21"/>
      <c r="E16" s="21"/>
      <c r="F16" s="21"/>
      <c r="H16" s="307"/>
    </row>
    <row r="17" spans="2:11" s="18" customFormat="1" ht="6" customHeight="1" thickBot="1">
      <c r="D17" s="27"/>
      <c r="E17" s="25"/>
      <c r="F17" s="25"/>
      <c r="H17" s="307"/>
    </row>
    <row r="18" spans="2:11" s="18" customFormat="1" ht="6" customHeight="1">
      <c r="B18" s="28"/>
      <c r="C18" s="29"/>
      <c r="D18" s="30"/>
      <c r="E18" s="31"/>
      <c r="F18" s="31"/>
      <c r="G18" s="32"/>
      <c r="H18" s="307"/>
    </row>
    <row r="19" spans="2:11" s="37" customFormat="1" ht="41.45" customHeight="1">
      <c r="B19" s="33" t="s">
        <v>32</v>
      </c>
      <c r="C19" s="34" t="s">
        <v>97</v>
      </c>
      <c r="D19" s="34" t="s">
        <v>33</v>
      </c>
      <c r="E19" s="34" t="s">
        <v>34</v>
      </c>
      <c r="F19" s="34" t="s">
        <v>35</v>
      </c>
      <c r="G19" s="35" t="s">
        <v>36</v>
      </c>
      <c r="H19" s="308"/>
    </row>
    <row r="20" spans="2:11" s="18" customFormat="1" ht="6" customHeight="1" thickBot="1">
      <c r="B20" s="38"/>
      <c r="C20" s="39"/>
      <c r="D20" s="40"/>
      <c r="E20" s="41"/>
      <c r="F20" s="41"/>
      <c r="G20" s="42"/>
      <c r="H20" s="307"/>
    </row>
    <row r="21" spans="2:11" s="18" customFormat="1" ht="6" customHeight="1">
      <c r="B21" s="28"/>
      <c r="C21" s="29"/>
      <c r="D21" s="30"/>
      <c r="E21" s="31"/>
      <c r="F21" s="31"/>
      <c r="G21" s="32"/>
      <c r="H21" s="307"/>
    </row>
    <row r="22" spans="2:11" s="16" customFormat="1">
      <c r="B22" s="43" t="s">
        <v>37</v>
      </c>
      <c r="C22" s="44"/>
      <c r="D22" s="45"/>
      <c r="E22" s="46"/>
      <c r="F22" s="46"/>
      <c r="G22" s="47"/>
      <c r="H22" s="304"/>
    </row>
    <row r="23" spans="2:11" s="16" customFormat="1">
      <c r="B23" s="48" t="s">
        <v>228</v>
      </c>
      <c r="C23" s="49">
        <v>24.9</v>
      </c>
      <c r="D23" s="50">
        <v>109.1</v>
      </c>
      <c r="E23" s="577" t="s">
        <v>21</v>
      </c>
      <c r="F23" s="578" t="s">
        <v>21</v>
      </c>
      <c r="G23" s="301" t="s">
        <v>658</v>
      </c>
      <c r="H23" s="304"/>
    </row>
    <row r="24" spans="2:11" s="16" customFormat="1" ht="14.25">
      <c r="B24" s="48" t="s">
        <v>229</v>
      </c>
      <c r="C24" s="49">
        <v>24.9</v>
      </c>
      <c r="D24" s="50">
        <v>109.1</v>
      </c>
      <c r="E24" s="577" t="s">
        <v>21</v>
      </c>
      <c r="F24" s="578" t="s">
        <v>21</v>
      </c>
      <c r="G24" s="301" t="s">
        <v>658</v>
      </c>
      <c r="H24" s="304"/>
    </row>
    <row r="25" spans="2:11" s="16" customFormat="1" ht="14.25">
      <c r="B25" s="48" t="s">
        <v>230</v>
      </c>
      <c r="C25" s="49">
        <v>24.9</v>
      </c>
      <c r="D25" s="50">
        <v>109.1</v>
      </c>
      <c r="E25" s="577" t="s">
        <v>21</v>
      </c>
      <c r="F25" s="578" t="s">
        <v>21</v>
      </c>
      <c r="G25" s="301" t="s">
        <v>658</v>
      </c>
      <c r="H25" s="304"/>
      <c r="J25" s="732">
        <v>48777</v>
      </c>
      <c r="K25" s="732">
        <f>J25*K26/J26</f>
        <v>66748.651366179911</v>
      </c>
    </row>
    <row r="26" spans="2:11" s="16" customFormat="1" ht="14.25">
      <c r="B26" s="48" t="s">
        <v>149</v>
      </c>
      <c r="C26" s="49">
        <v>6.64</v>
      </c>
      <c r="D26" s="50">
        <f>C26*C12/2000</f>
        <v>29.083199999999998</v>
      </c>
      <c r="E26" s="577" t="s">
        <v>21</v>
      </c>
      <c r="F26" s="578" t="s">
        <v>21</v>
      </c>
      <c r="G26" s="301" t="s">
        <v>749</v>
      </c>
      <c r="H26" s="304"/>
      <c r="J26" s="732">
        <v>2533897.6</v>
      </c>
      <c r="K26" s="732">
        <f>C14</f>
        <v>3467500</v>
      </c>
    </row>
    <row r="27" spans="2:11">
      <c r="B27" s="48" t="s">
        <v>65</v>
      </c>
      <c r="C27" s="94">
        <f>SUM(C28:C32)</f>
        <v>2.3338527450096378</v>
      </c>
      <c r="D27" s="94">
        <f>SUM(D28:D32)</f>
        <v>10.222275023142213</v>
      </c>
      <c r="E27" s="336"/>
      <c r="F27" s="95"/>
      <c r="G27" s="159"/>
    </row>
    <row r="28" spans="2:11">
      <c r="B28" s="428" t="s">
        <v>440</v>
      </c>
      <c r="C28" s="94">
        <f>D28*2000/$C$12</f>
        <v>8.762665419076129E-3</v>
      </c>
      <c r="D28" s="94">
        <f>E28*$C$15/2000</f>
        <v>3.8380474535553447E-2</v>
      </c>
      <c r="E28" s="337">
        <f>0.001*(1+'Key Inputs'!G2)</f>
        <v>1.15E-3</v>
      </c>
      <c r="F28" s="95" t="s">
        <v>135</v>
      </c>
      <c r="G28" s="159" t="s">
        <v>302</v>
      </c>
    </row>
    <row r="29" spans="2:11">
      <c r="B29" s="428" t="s">
        <v>441</v>
      </c>
      <c r="C29" s="94">
        <f t="shared" ref="C29:C30" si="0">D29*2000/$C$12</f>
        <v>2.2760416666666665E-2</v>
      </c>
      <c r="D29" s="94">
        <f>E29*$C$14/2000</f>
        <v>9.9690624999999991E-2</v>
      </c>
      <c r="E29" s="337">
        <f>0.00005*(1+'Key Inputs'!G2)</f>
        <v>5.7499999999999995E-5</v>
      </c>
      <c r="F29" s="95" t="s">
        <v>448</v>
      </c>
      <c r="G29" s="159" t="s">
        <v>449</v>
      </c>
    </row>
    <row r="30" spans="2:11">
      <c r="B30" s="428" t="s">
        <v>442</v>
      </c>
      <c r="C30" s="94">
        <f t="shared" si="0"/>
        <v>2.2760416666666665</v>
      </c>
      <c r="D30" s="94">
        <f>E30*$C$14/2000</f>
        <v>9.9690624999999997</v>
      </c>
      <c r="E30" s="337">
        <f>0.005*(1+'Key Inputs'!G2)</f>
        <v>5.7499999999999999E-3</v>
      </c>
      <c r="F30" s="95" t="s">
        <v>448</v>
      </c>
      <c r="G30" s="159" t="s">
        <v>450</v>
      </c>
    </row>
    <row r="31" spans="2:11">
      <c r="B31" s="428" t="s">
        <v>443</v>
      </c>
      <c r="C31" s="94">
        <f t="shared" ref="C31:C32" si="1">D31*2000/$C$12</f>
        <v>1.7525330838152258E-2</v>
      </c>
      <c r="D31" s="94">
        <f t="shared" ref="D31:D32" si="2">E31*$C$15/2000</f>
        <v>7.6760949071106893E-2</v>
      </c>
      <c r="E31" s="337">
        <f>0.002*(1+'Key Inputs'!G2)</f>
        <v>2.3E-3</v>
      </c>
      <c r="F31" s="95" t="s">
        <v>135</v>
      </c>
      <c r="G31" s="159" t="s">
        <v>451</v>
      </c>
    </row>
    <row r="32" spans="2:11">
      <c r="B32" s="428" t="s">
        <v>444</v>
      </c>
      <c r="C32" s="94">
        <f t="shared" si="1"/>
        <v>8.762665419076129E-3</v>
      </c>
      <c r="D32" s="94">
        <f t="shared" si="2"/>
        <v>3.8380474535553447E-2</v>
      </c>
      <c r="E32" s="337">
        <f>0.001*(1+'Key Inputs'!G2)</f>
        <v>1.15E-3</v>
      </c>
      <c r="F32" s="95" t="s">
        <v>135</v>
      </c>
      <c r="G32" s="159" t="s">
        <v>302</v>
      </c>
    </row>
    <row r="33" spans="2:11">
      <c r="B33" s="48"/>
      <c r="C33" s="158"/>
      <c r="D33" s="158"/>
      <c r="E33" s="158"/>
      <c r="F33" s="158"/>
      <c r="G33" s="159"/>
    </row>
    <row r="34" spans="2:11" s="16" customFormat="1">
      <c r="B34" s="43" t="s">
        <v>41</v>
      </c>
      <c r="C34" s="49"/>
      <c r="D34" s="50"/>
      <c r="E34" s="80"/>
      <c r="F34" s="52"/>
      <c r="G34" s="301"/>
      <c r="I34" s="304"/>
      <c r="J34" s="304"/>
      <c r="K34" s="304"/>
    </row>
    <row r="35" spans="2:11" s="16" customFormat="1">
      <c r="B35" s="58" t="s">
        <v>86</v>
      </c>
      <c r="C35" s="49"/>
      <c r="D35" s="50"/>
      <c r="E35" s="80"/>
      <c r="F35" s="52"/>
      <c r="G35" s="301"/>
      <c r="I35" s="304"/>
      <c r="J35" s="304"/>
      <c r="K35" s="304"/>
    </row>
    <row r="36" spans="2:11" s="16" customFormat="1">
      <c r="B36" s="48" t="s">
        <v>234</v>
      </c>
      <c r="C36" s="62">
        <f>$C$23*E36%</f>
        <v>1.8475909559999997E-3</v>
      </c>
      <c r="D36" s="62">
        <f>$D$23*E36%</f>
        <v>8.0952680039999992E-3</v>
      </c>
      <c r="E36" s="82">
        <v>7.4200439999999998E-3</v>
      </c>
      <c r="F36" s="52" t="s">
        <v>245</v>
      </c>
      <c r="G36" s="301" t="s">
        <v>452</v>
      </c>
      <c r="I36" s="304"/>
      <c r="J36" s="304"/>
      <c r="K36" s="304"/>
    </row>
    <row r="37" spans="2:11" s="16" customFormat="1">
      <c r="B37" s="48" t="s">
        <v>235</v>
      </c>
      <c r="C37" s="62">
        <f t="shared" ref="C37:C47" si="3">$C$23*E37%</f>
        <v>7.3704E-4</v>
      </c>
      <c r="D37" s="62">
        <f t="shared" ref="D37:D47" si="4">$D$23*E37%</f>
        <v>3.2293600000000001E-3</v>
      </c>
      <c r="E37" s="82">
        <v>2.96E-3</v>
      </c>
      <c r="F37" s="52" t="s">
        <v>245</v>
      </c>
      <c r="G37" s="301" t="s">
        <v>452</v>
      </c>
      <c r="I37" s="304"/>
      <c r="J37" s="304"/>
      <c r="K37" s="304"/>
    </row>
    <row r="38" spans="2:11" s="16" customFormat="1">
      <c r="B38" s="48" t="s">
        <v>236</v>
      </c>
      <c r="C38" s="62">
        <f t="shared" si="3"/>
        <v>1.2698999999999998E-5</v>
      </c>
      <c r="D38" s="62">
        <f t="shared" si="4"/>
        <v>5.5640999999999998E-5</v>
      </c>
      <c r="E38" s="82">
        <v>5.1E-5</v>
      </c>
      <c r="F38" s="52" t="s">
        <v>245</v>
      </c>
      <c r="G38" s="301" t="s">
        <v>452</v>
      </c>
      <c r="I38" s="304"/>
      <c r="J38" s="304"/>
      <c r="K38" s="304"/>
    </row>
    <row r="39" spans="2:11" s="16" customFormat="1">
      <c r="B39" s="48" t="s">
        <v>237</v>
      </c>
      <c r="C39" s="62">
        <f t="shared" si="3"/>
        <v>7.6194000000000001E-3</v>
      </c>
      <c r="D39" s="62">
        <f t="shared" si="4"/>
        <v>3.33846E-2</v>
      </c>
      <c r="E39" s="82">
        <v>3.0599999999999999E-2</v>
      </c>
      <c r="F39" s="52" t="s">
        <v>245</v>
      </c>
      <c r="G39" s="301" t="s">
        <v>452</v>
      </c>
      <c r="I39" s="304"/>
      <c r="J39" s="304"/>
      <c r="K39" s="304"/>
    </row>
    <row r="40" spans="2:11" s="16" customFormat="1">
      <c r="B40" s="48" t="s">
        <v>238</v>
      </c>
      <c r="C40" s="62">
        <f t="shared" si="3"/>
        <v>8.0320660400000007E-3</v>
      </c>
      <c r="D40" s="62">
        <f t="shared" si="4"/>
        <v>3.5192707026666672E-2</v>
      </c>
      <c r="E40" s="82">
        <v>3.2257293333333339E-2</v>
      </c>
      <c r="F40" s="52" t="s">
        <v>245</v>
      </c>
      <c r="G40" s="301" t="s">
        <v>452</v>
      </c>
      <c r="I40" s="304"/>
      <c r="J40" s="304"/>
      <c r="K40" s="304"/>
    </row>
    <row r="41" spans="2:11" s="16" customFormat="1">
      <c r="B41" s="48" t="s">
        <v>239</v>
      </c>
      <c r="C41" s="62">
        <f t="shared" si="3"/>
        <v>2.3406000000000002E-4</v>
      </c>
      <c r="D41" s="62">
        <f t="shared" si="4"/>
        <v>1.0255400000000001E-3</v>
      </c>
      <c r="E41" s="82">
        <v>9.4000000000000008E-4</v>
      </c>
      <c r="F41" s="52" t="s">
        <v>245</v>
      </c>
      <c r="G41" s="301" t="s">
        <v>452</v>
      </c>
      <c r="I41" s="304"/>
      <c r="J41" s="304"/>
      <c r="K41" s="304"/>
    </row>
    <row r="42" spans="2:11" s="16" customFormat="1">
      <c r="B42" s="48" t="s">
        <v>91</v>
      </c>
      <c r="C42" s="62">
        <f t="shared" si="3"/>
        <v>0.2402035935999999</v>
      </c>
      <c r="D42" s="62">
        <f t="shared" si="4"/>
        <v>1.0524583157333329</v>
      </c>
      <c r="E42" s="82">
        <v>0.96467306666666641</v>
      </c>
      <c r="F42" s="52" t="s">
        <v>245</v>
      </c>
      <c r="G42" s="301" t="s">
        <v>452</v>
      </c>
      <c r="I42" s="304"/>
      <c r="J42" s="304"/>
      <c r="K42" s="304"/>
    </row>
    <row r="43" spans="2:11" s="16" customFormat="1">
      <c r="B43" s="48" t="s">
        <v>240</v>
      </c>
      <c r="C43" s="62">
        <f t="shared" si="3"/>
        <v>0.33868131659905004</v>
      </c>
      <c r="D43" s="62">
        <f t="shared" si="4"/>
        <v>1.4839410297572835</v>
      </c>
      <c r="E43" s="82">
        <v>1.3601659301166669</v>
      </c>
      <c r="F43" s="52" t="s">
        <v>245</v>
      </c>
      <c r="G43" s="301" t="s">
        <v>452</v>
      </c>
      <c r="I43" s="304"/>
      <c r="J43" s="304"/>
      <c r="K43" s="304"/>
    </row>
    <row r="44" spans="2:11" s="16" customFormat="1">
      <c r="B44" s="48" t="s">
        <v>241</v>
      </c>
      <c r="C44" s="62">
        <f t="shared" si="3"/>
        <v>3.4824109140000006E-5</v>
      </c>
      <c r="D44" s="62">
        <f t="shared" si="4"/>
        <v>1.5258274326000003E-4</v>
      </c>
      <c r="E44" s="82">
        <v>1.3985586000000001E-4</v>
      </c>
      <c r="F44" s="52" t="s">
        <v>245</v>
      </c>
      <c r="G44" s="301" t="s">
        <v>452</v>
      </c>
      <c r="I44" s="304"/>
      <c r="J44" s="304"/>
      <c r="K44" s="304"/>
    </row>
    <row r="45" spans="2:11" s="16" customFormat="1">
      <c r="B45" s="48" t="s">
        <v>242</v>
      </c>
      <c r="C45" s="62">
        <f t="shared" si="3"/>
        <v>1.8601273589999997E-3</v>
      </c>
      <c r="D45" s="62">
        <f t="shared" si="4"/>
        <v>8.1501965809999983E-3</v>
      </c>
      <c r="E45" s="82">
        <v>7.470390999999999E-3</v>
      </c>
      <c r="F45" s="52" t="s">
        <v>245</v>
      </c>
      <c r="G45" s="301" t="s">
        <v>452</v>
      </c>
      <c r="I45" s="304"/>
      <c r="J45" s="304"/>
      <c r="K45" s="304"/>
    </row>
    <row r="46" spans="2:11" s="16" customFormat="1">
      <c r="B46" s="48" t="s">
        <v>243</v>
      </c>
      <c r="C46" s="62">
        <f t="shared" si="3"/>
        <v>3.0857947500000001E-5</v>
      </c>
      <c r="D46" s="62">
        <f t="shared" si="4"/>
        <v>1.3520490250000001E-4</v>
      </c>
      <c r="E46" s="82">
        <v>1.239275E-4</v>
      </c>
      <c r="F46" s="52" t="s">
        <v>245</v>
      </c>
      <c r="G46" s="301" t="s">
        <v>452</v>
      </c>
      <c r="I46" s="304"/>
      <c r="J46" s="304"/>
      <c r="K46" s="304"/>
    </row>
    <row r="47" spans="2:11" s="16" customFormat="1">
      <c r="B47" s="48" t="s">
        <v>244</v>
      </c>
      <c r="C47" s="62">
        <f t="shared" si="3"/>
        <v>8.9639999999999997E-2</v>
      </c>
      <c r="D47" s="62">
        <f t="shared" si="4"/>
        <v>0.39275999999999994</v>
      </c>
      <c r="E47" s="82">
        <v>0.36</v>
      </c>
      <c r="F47" s="52" t="s">
        <v>245</v>
      </c>
      <c r="G47" s="301" t="s">
        <v>452</v>
      </c>
      <c r="I47" s="304"/>
      <c r="J47" s="304"/>
      <c r="K47" s="304"/>
    </row>
    <row r="48" spans="2:11" ht="6" customHeight="1" thickBot="1">
      <c r="B48" s="164"/>
      <c r="C48" s="165"/>
      <c r="D48" s="165"/>
      <c r="E48" s="165"/>
      <c r="F48" s="165"/>
      <c r="G48" s="167"/>
    </row>
  </sheetData>
  <pageMargins left="0.2" right="0.2" top="0.25" bottom="0.25" header="0.05" footer="0.05"/>
  <pageSetup scale="75" fitToWidth="0"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1197-A6D2-47FF-A6F2-3ED4296EEB28}">
  <dimension ref="B1:U49"/>
  <sheetViews>
    <sheetView topLeftCell="A13" zoomScaleNormal="100" zoomScaleSheetLayoutView="100" workbookViewId="0">
      <selection activeCell="C11" sqref="C11"/>
    </sheetView>
  </sheetViews>
  <sheetFormatPr defaultColWidth="9.140625" defaultRowHeight="12.75"/>
  <cols>
    <col min="1" max="1" width="2.42578125" style="90" customWidth="1"/>
    <col min="2" max="2" width="43.7109375" style="90" customWidth="1"/>
    <col min="3" max="6" width="13.140625" style="90" customWidth="1"/>
    <col min="7" max="7" width="63.5703125" style="90" bestFit="1" customWidth="1"/>
    <col min="8" max="8" width="9.140625" style="92" customWidth="1"/>
    <col min="9" max="16384" width="9.140625" style="90"/>
  </cols>
  <sheetData>
    <row r="1" spans="2:8" s="1" customFormat="1" ht="11.25" customHeight="1">
      <c r="H1" s="304"/>
    </row>
    <row r="2" spans="2:8" s="6" customFormat="1">
      <c r="B2" s="5" t="str">
        <f>'Key Inputs'!B2</f>
        <v>Company Name:</v>
      </c>
      <c r="C2" s="279" t="str">
        <f>'Key Inputs'!C2</f>
        <v>U. S. Steel Corp.</v>
      </c>
      <c r="F2" s="5"/>
      <c r="H2" s="305"/>
    </row>
    <row r="3" spans="2:8" s="6" customFormat="1">
      <c r="B3" s="5" t="str">
        <f>'Key Inputs'!B3</f>
        <v>Site Name:</v>
      </c>
      <c r="C3" s="279" t="str">
        <f>'Key Inputs'!C3</f>
        <v>Edgar Thomson Plant</v>
      </c>
      <c r="F3" s="5"/>
      <c r="H3" s="305"/>
    </row>
    <row r="4" spans="2:8" s="6" customFormat="1">
      <c r="B4" s="5" t="str">
        <f>'Key Inputs'!B4</f>
        <v>Description:</v>
      </c>
      <c r="C4" s="279" t="str">
        <f>'Key Inputs'!C4</f>
        <v>Title V Permit Renewal</v>
      </c>
      <c r="F4" s="5"/>
      <c r="H4" s="305"/>
    </row>
    <row r="5" spans="2:8" s="6" customFormat="1">
      <c r="B5" s="5" t="str">
        <f>'Key Inputs'!B5</f>
        <v>Date:</v>
      </c>
      <c r="C5" s="281" t="str">
        <f>'Key Inputs'!C5</f>
        <v>10/7/2020 - DRAFT</v>
      </c>
      <c r="F5" s="5"/>
      <c r="H5" s="305"/>
    </row>
    <row r="6" spans="2:8" s="6" customFormat="1">
      <c r="B6" s="5"/>
      <c r="C6" s="5"/>
      <c r="D6" s="5"/>
      <c r="F6" s="5"/>
      <c r="H6" s="305"/>
    </row>
    <row r="7" spans="2:8" s="11" customFormat="1">
      <c r="B7" s="85" t="s">
        <v>311</v>
      </c>
      <c r="C7" s="10"/>
      <c r="D7" s="10"/>
      <c r="F7" s="10"/>
      <c r="H7" s="306"/>
    </row>
    <row r="8" spans="2:8" s="16" customFormat="1">
      <c r="B8" s="14"/>
      <c r="C8" s="15"/>
      <c r="H8" s="304"/>
    </row>
    <row r="9" spans="2:8" s="18" customFormat="1" ht="16.5" customHeight="1">
      <c r="B9" s="20" t="s">
        <v>25</v>
      </c>
      <c r="C9" s="20" t="s">
        <v>312</v>
      </c>
      <c r="D9" s="20"/>
      <c r="E9" s="21"/>
      <c r="F9" s="21"/>
      <c r="H9" s="307"/>
    </row>
    <row r="10" spans="2:8" s="18" customFormat="1">
      <c r="B10" s="20" t="s">
        <v>56</v>
      </c>
      <c r="C10" s="23" t="s">
        <v>313</v>
      </c>
      <c r="D10" s="20"/>
      <c r="E10" s="21"/>
      <c r="F10" s="21"/>
      <c r="H10" s="307"/>
    </row>
    <row r="11" spans="2:8" s="18" customFormat="1">
      <c r="B11" s="20" t="s">
        <v>291</v>
      </c>
      <c r="C11" s="23" t="s">
        <v>314</v>
      </c>
      <c r="D11" s="20"/>
      <c r="E11" s="21"/>
      <c r="F11" s="21"/>
      <c r="H11" s="307"/>
    </row>
    <row r="12" spans="2:8" s="18" customFormat="1">
      <c r="B12" s="20" t="s">
        <v>26</v>
      </c>
      <c r="C12" s="24">
        <f>'Key Inputs'!$G$21</f>
        <v>8760</v>
      </c>
      <c r="D12" s="21" t="s">
        <v>10</v>
      </c>
      <c r="E12" s="21"/>
      <c r="F12" s="21"/>
      <c r="G12" s="87"/>
      <c r="H12" s="307"/>
    </row>
    <row r="13" spans="2:8" s="18" customFormat="1" ht="15" customHeight="1">
      <c r="B13" s="20" t="s">
        <v>14</v>
      </c>
      <c r="C13" s="335" t="s">
        <v>315</v>
      </c>
      <c r="D13" s="21"/>
      <c r="E13" s="21"/>
      <c r="F13" s="21"/>
      <c r="G13" s="87"/>
      <c r="H13" s="307"/>
    </row>
    <row r="14" spans="2:8" s="18" customFormat="1">
      <c r="B14" s="20" t="s">
        <v>95</v>
      </c>
      <c r="C14" s="24">
        <v>3467500</v>
      </c>
      <c r="D14" s="21" t="s">
        <v>316</v>
      </c>
      <c r="E14" s="21"/>
      <c r="F14" s="21"/>
      <c r="H14" s="307" t="s">
        <v>309</v>
      </c>
    </row>
    <row r="15" spans="2:8" s="18" customFormat="1">
      <c r="B15" s="20"/>
      <c r="C15" s="24"/>
      <c r="D15" s="21"/>
      <c r="E15" s="21"/>
      <c r="F15" s="21"/>
      <c r="H15" s="307"/>
    </row>
    <row r="16" spans="2:8" s="18" customFormat="1" ht="6" customHeight="1" thickBot="1">
      <c r="D16" s="27"/>
      <c r="E16" s="25"/>
      <c r="F16" s="25"/>
      <c r="H16" s="307"/>
    </row>
    <row r="17" spans="2:21" s="18" customFormat="1" ht="6" customHeight="1">
      <c r="B17" s="28"/>
      <c r="C17" s="29"/>
      <c r="D17" s="30"/>
      <c r="E17" s="31"/>
      <c r="F17" s="31"/>
      <c r="G17" s="32"/>
      <c r="H17" s="307"/>
    </row>
    <row r="18" spans="2:21" s="37" customFormat="1" ht="41.45" customHeight="1">
      <c r="B18" s="33" t="s">
        <v>32</v>
      </c>
      <c r="C18" s="34" t="s">
        <v>97</v>
      </c>
      <c r="D18" s="34" t="s">
        <v>33</v>
      </c>
      <c r="E18" s="34" t="s">
        <v>34</v>
      </c>
      <c r="F18" s="34" t="s">
        <v>35</v>
      </c>
      <c r="G18" s="35" t="s">
        <v>36</v>
      </c>
      <c r="H18" s="308"/>
    </row>
    <row r="19" spans="2:21" s="18" customFormat="1" ht="6" customHeight="1" thickBot="1">
      <c r="B19" s="38"/>
      <c r="C19" s="39"/>
      <c r="D19" s="40"/>
      <c r="E19" s="41"/>
      <c r="F19" s="41"/>
      <c r="G19" s="42"/>
      <c r="H19" s="307"/>
    </row>
    <row r="20" spans="2:21" s="18" customFormat="1" ht="6" customHeight="1">
      <c r="B20" s="28"/>
      <c r="C20" s="29"/>
      <c r="D20" s="30"/>
      <c r="E20" s="31"/>
      <c r="F20" s="31"/>
      <c r="G20" s="32"/>
      <c r="H20" s="307"/>
    </row>
    <row r="21" spans="2:21" s="16" customFormat="1">
      <c r="B21" s="43" t="s">
        <v>37</v>
      </c>
      <c r="C21" s="44"/>
      <c r="D21" s="45"/>
      <c r="E21" s="46"/>
      <c r="F21" s="46"/>
      <c r="G21" s="47"/>
      <c r="H21" s="304"/>
    </row>
    <row r="22" spans="2:21" s="16" customFormat="1">
      <c r="B22" s="48" t="s">
        <v>228</v>
      </c>
      <c r="C22" s="49">
        <f>44.12-'7. BOP SEC BH (P003-5,6,8)'!C23</f>
        <v>19.22</v>
      </c>
      <c r="D22" s="50">
        <f>193.24-'7. BOP SEC BH (P003-5,6,8)'!D23</f>
        <v>84.140000000000015</v>
      </c>
      <c r="E22" s="577" t="s">
        <v>21</v>
      </c>
      <c r="F22" s="578" t="s">
        <v>21</v>
      </c>
      <c r="G22" s="301" t="s">
        <v>740</v>
      </c>
      <c r="H22" s="304"/>
    </row>
    <row r="23" spans="2:21" s="16" customFormat="1" ht="14.25">
      <c r="B23" s="48" t="s">
        <v>229</v>
      </c>
      <c r="C23" s="49">
        <f>44.12-'7. BOP SEC BH (P003-5,6,8)'!C24</f>
        <v>19.22</v>
      </c>
      <c r="D23" s="50">
        <f>193.24-'7. BOP SEC BH (P003-5,6,8)'!D24</f>
        <v>84.140000000000015</v>
      </c>
      <c r="E23" s="577" t="s">
        <v>21</v>
      </c>
      <c r="F23" s="578" t="s">
        <v>21</v>
      </c>
      <c r="G23" s="301" t="s">
        <v>740</v>
      </c>
      <c r="H23" s="304"/>
    </row>
    <row r="24" spans="2:21" s="16" customFormat="1" ht="14.25">
      <c r="B24" s="48" t="s">
        <v>230</v>
      </c>
      <c r="C24" s="49">
        <f>44.12-'7. BOP SEC BH (P003-5,6,8)'!C25</f>
        <v>19.22</v>
      </c>
      <c r="D24" s="50">
        <f>193.24-'7. BOP SEC BH (P003-5,6,8)'!D25</f>
        <v>84.140000000000015</v>
      </c>
      <c r="E24" s="577" t="s">
        <v>21</v>
      </c>
      <c r="F24" s="578" t="s">
        <v>21</v>
      </c>
      <c r="G24" s="301" t="s">
        <v>740</v>
      </c>
      <c r="H24" s="304"/>
    </row>
    <row r="25" spans="2:21" ht="15.6" customHeight="1">
      <c r="B25" s="48" t="s">
        <v>148</v>
      </c>
      <c r="C25" s="94">
        <f t="shared" ref="C25:C28" si="0">D25*2000/$C$12</f>
        <v>41.450735294117642</v>
      </c>
      <c r="D25" s="94">
        <f t="shared" ref="D25:D28" si="1">E25*$C$14/2000</f>
        <v>181.55422058823527</v>
      </c>
      <c r="E25" s="339">
        <f>MAX('EF Dev Tests'!C16:C18)*1.15</f>
        <v>0.10471764705882351</v>
      </c>
      <c r="F25" s="95" t="s">
        <v>96</v>
      </c>
      <c r="G25" s="301" t="s">
        <v>800</v>
      </c>
      <c r="I25" s="735" t="s">
        <v>791</v>
      </c>
      <c r="J25" s="735"/>
      <c r="K25" s="735"/>
      <c r="L25" s="735"/>
      <c r="M25" s="735"/>
    </row>
    <row r="26" spans="2:21" ht="15.6" customHeight="1">
      <c r="B26" s="48" t="s">
        <v>65</v>
      </c>
      <c r="C26" s="94">
        <f t="shared" si="0"/>
        <v>3.7979241160111235</v>
      </c>
      <c r="D26" s="94">
        <f t="shared" si="1"/>
        <v>16.634907628128719</v>
      </c>
      <c r="E26" s="339">
        <f>MAX('EF Dev Tests'!I16:I18)*1.15</f>
        <v>9.5947556615017856E-3</v>
      </c>
      <c r="F26" s="95" t="s">
        <v>96</v>
      </c>
      <c r="G26" s="301" t="s">
        <v>800</v>
      </c>
    </row>
    <row r="27" spans="2:21" ht="15.6" customHeight="1">
      <c r="B27" s="48" t="s">
        <v>149</v>
      </c>
      <c r="C27" s="94">
        <f t="shared" ref="C27" si="2">D27*2000/$C$12</f>
        <v>2.7128029400079456</v>
      </c>
      <c r="D27" s="94">
        <f t="shared" ref="D27" si="3">E27*$C$14/2000</f>
        <v>11.882076877234802</v>
      </c>
      <c r="E27" s="339">
        <f>MAX('EF Dev Tests'!E16:E18)*1.15</f>
        <v>6.8533969010727046E-3</v>
      </c>
      <c r="F27" s="95" t="s">
        <v>96</v>
      </c>
      <c r="G27" s="301" t="s">
        <v>800</v>
      </c>
    </row>
    <row r="28" spans="2:21" ht="15.6" customHeight="1">
      <c r="B28" s="48" t="s">
        <v>40</v>
      </c>
      <c r="C28" s="576">
        <f t="shared" si="0"/>
        <v>2575.4378182439145</v>
      </c>
      <c r="D28" s="576">
        <f t="shared" si="1"/>
        <v>11280.417643908346</v>
      </c>
      <c r="E28" s="339">
        <f>MAX('EF Dev Tests'!G16,'EF Dev Tests'!G18)*1.15</f>
        <v>6.5063692250372576</v>
      </c>
      <c r="F28" s="95" t="s">
        <v>96</v>
      </c>
      <c r="G28" s="301" t="s">
        <v>800</v>
      </c>
      <c r="I28" s="798"/>
      <c r="J28" s="789"/>
      <c r="K28" s="789"/>
      <c r="L28" s="789"/>
      <c r="M28" s="789"/>
      <c r="N28" s="789"/>
      <c r="O28" s="789"/>
      <c r="P28" s="789"/>
      <c r="Q28" s="789"/>
      <c r="R28" s="789"/>
      <c r="S28" s="789"/>
      <c r="T28" s="789"/>
      <c r="U28" s="789"/>
    </row>
    <row r="29" spans="2:21">
      <c r="B29" s="48"/>
      <c r="C29" s="158"/>
      <c r="D29" s="158"/>
      <c r="E29" s="158"/>
      <c r="F29" s="158"/>
      <c r="G29" s="159"/>
      <c r="I29" s="789"/>
      <c r="J29" s="789"/>
      <c r="K29" s="789"/>
      <c r="L29" s="789"/>
      <c r="M29" s="789"/>
      <c r="N29" s="789"/>
      <c r="O29" s="789"/>
      <c r="P29" s="789"/>
      <c r="Q29" s="789"/>
      <c r="R29" s="789"/>
      <c r="S29" s="789"/>
      <c r="T29" s="789"/>
      <c r="U29" s="789"/>
    </row>
    <row r="30" spans="2:21" s="16" customFormat="1">
      <c r="B30" s="43" t="s">
        <v>41</v>
      </c>
      <c r="C30" s="49"/>
      <c r="D30" s="50"/>
      <c r="E30" s="80"/>
      <c r="F30" s="52"/>
      <c r="G30" s="301"/>
      <c r="I30" s="799"/>
      <c r="J30" s="799"/>
      <c r="K30" s="799"/>
      <c r="L30" s="799"/>
      <c r="M30" s="799"/>
      <c r="N30" s="799"/>
      <c r="O30" s="799"/>
      <c r="P30" s="799"/>
      <c r="Q30" s="799"/>
      <c r="R30" s="799"/>
      <c r="S30" s="799"/>
      <c r="T30" s="799"/>
      <c r="U30" s="799"/>
    </row>
    <row r="31" spans="2:21" s="16" customFormat="1">
      <c r="B31" s="58" t="s">
        <v>86</v>
      </c>
      <c r="C31" s="49"/>
      <c r="D31" s="50"/>
      <c r="E31" s="80"/>
      <c r="F31" s="52"/>
      <c r="G31" s="301"/>
      <c r="I31" s="304"/>
      <c r="J31" s="304"/>
      <c r="K31" s="304"/>
    </row>
    <row r="32" spans="2:21" s="16" customFormat="1">
      <c r="B32" s="48" t="s">
        <v>234</v>
      </c>
      <c r="C32" s="62">
        <f>$C$22*E32%</f>
        <v>6.0627856299999994E-4</v>
      </c>
      <c r="D32" s="62">
        <f>$D$22*E32%</f>
        <v>2.6541247810000002E-3</v>
      </c>
      <c r="E32" s="82">
        <v>3.1544149999999998E-3</v>
      </c>
      <c r="F32" s="52" t="s">
        <v>245</v>
      </c>
      <c r="G32" s="301" t="s">
        <v>438</v>
      </c>
      <c r="I32" s="304"/>
      <c r="J32" s="304"/>
      <c r="K32" s="304"/>
    </row>
    <row r="33" spans="2:11" s="16" customFormat="1">
      <c r="B33" s="48" t="s">
        <v>235</v>
      </c>
      <c r="C33" s="62">
        <f t="shared" ref="C33:C43" si="4">$C$22*E33%</f>
        <v>4.5811110249999999E-5</v>
      </c>
      <c r="D33" s="62">
        <f t="shared" ref="D33:D43" si="5">$D$22*E33%</f>
        <v>2.0054874175000004E-4</v>
      </c>
      <c r="E33" s="82">
        <v>2.3835125000000001E-4</v>
      </c>
      <c r="F33" s="52" t="s">
        <v>245</v>
      </c>
      <c r="G33" s="301" t="s">
        <v>438</v>
      </c>
      <c r="I33" s="304"/>
      <c r="J33" s="304"/>
      <c r="K33" s="304"/>
    </row>
    <row r="34" spans="2:11" s="16" customFormat="1">
      <c r="B34" s="48" t="s">
        <v>236</v>
      </c>
      <c r="C34" s="62">
        <f t="shared" si="4"/>
        <v>2.2752203549999997E-5</v>
      </c>
      <c r="D34" s="62">
        <f t="shared" si="5"/>
        <v>9.9603038850000014E-5</v>
      </c>
      <c r="E34" s="82">
        <v>1.1837774999999999E-4</v>
      </c>
      <c r="F34" s="52" t="s">
        <v>245</v>
      </c>
      <c r="G34" s="301" t="s">
        <v>438</v>
      </c>
      <c r="I34" s="304"/>
      <c r="J34" s="304"/>
      <c r="K34" s="304"/>
    </row>
    <row r="35" spans="2:11" s="16" customFormat="1">
      <c r="B35" s="48" t="s">
        <v>237</v>
      </c>
      <c r="C35" s="62">
        <f t="shared" si="4"/>
        <v>1.4392570259999999E-3</v>
      </c>
      <c r="D35" s="62">
        <f t="shared" si="5"/>
        <v>6.3006808620000012E-3</v>
      </c>
      <c r="E35" s="82">
        <v>7.4883300000000005E-3</v>
      </c>
      <c r="F35" s="52" t="s">
        <v>245</v>
      </c>
      <c r="G35" s="301" t="s">
        <v>438</v>
      </c>
      <c r="I35" s="304"/>
      <c r="J35" s="304"/>
      <c r="K35" s="304"/>
    </row>
    <row r="36" spans="2:11" s="16" customFormat="1">
      <c r="B36" s="48" t="s">
        <v>238</v>
      </c>
      <c r="C36" s="62">
        <f t="shared" si="4"/>
        <v>1.1100981890000002E-2</v>
      </c>
      <c r="D36" s="62">
        <f t="shared" si="5"/>
        <v>4.8597118430000023E-2</v>
      </c>
      <c r="E36" s="82">
        <v>5.7757450000000009E-2</v>
      </c>
      <c r="F36" s="52" t="s">
        <v>245</v>
      </c>
      <c r="G36" s="301" t="s">
        <v>438</v>
      </c>
      <c r="I36" s="304"/>
      <c r="J36" s="304"/>
      <c r="K36" s="304"/>
    </row>
    <row r="37" spans="2:11" s="16" customFormat="1">
      <c r="B37" s="48" t="s">
        <v>239</v>
      </c>
      <c r="C37" s="62">
        <f t="shared" si="4"/>
        <v>1.7314356219999997E-4</v>
      </c>
      <c r="D37" s="62">
        <f t="shared" si="5"/>
        <v>7.5797603140000005E-4</v>
      </c>
      <c r="E37" s="82">
        <v>9.0085099999999993E-4</v>
      </c>
      <c r="F37" s="52" t="s">
        <v>245</v>
      </c>
      <c r="G37" s="301" t="s">
        <v>438</v>
      </c>
      <c r="I37" s="304"/>
      <c r="J37" s="304"/>
      <c r="K37" s="304"/>
    </row>
    <row r="38" spans="2:11" s="16" customFormat="1">
      <c r="B38" s="48" t="s">
        <v>91</v>
      </c>
      <c r="C38" s="62">
        <f t="shared" si="4"/>
        <v>1.7113430339999999E-2</v>
      </c>
      <c r="D38" s="62">
        <f t="shared" si="5"/>
        <v>7.4918003580000017E-2</v>
      </c>
      <c r="E38" s="82">
        <v>8.9039699999999999E-2</v>
      </c>
      <c r="F38" s="52" t="s">
        <v>245</v>
      </c>
      <c r="G38" s="301" t="s">
        <v>438</v>
      </c>
      <c r="I38" s="304"/>
      <c r="J38" s="304"/>
      <c r="K38" s="304"/>
    </row>
    <row r="39" spans="2:11" s="16" customFormat="1">
      <c r="B39" s="48" t="s">
        <v>240</v>
      </c>
      <c r="C39" s="62">
        <f t="shared" si="4"/>
        <v>0.2627385532</v>
      </c>
      <c r="D39" s="62">
        <f t="shared" si="5"/>
        <v>1.1501988484000003</v>
      </c>
      <c r="E39" s="82">
        <v>1.3670060000000002</v>
      </c>
      <c r="F39" s="52" t="s">
        <v>245</v>
      </c>
      <c r="G39" s="301" t="s">
        <v>438</v>
      </c>
      <c r="I39" s="304"/>
      <c r="J39" s="304"/>
      <c r="K39" s="304"/>
    </row>
    <row r="40" spans="2:11" s="16" customFormat="1">
      <c r="B40" s="48" t="s">
        <v>241</v>
      </c>
      <c r="C40" s="62">
        <f t="shared" si="4"/>
        <v>6.8086561699999991E-7</v>
      </c>
      <c r="D40" s="62">
        <f t="shared" si="5"/>
        <v>2.9806468790000006E-6</v>
      </c>
      <c r="E40" s="82">
        <v>3.5424850000000002E-6</v>
      </c>
      <c r="F40" s="52" t="s">
        <v>245</v>
      </c>
      <c r="G40" s="301" t="s">
        <v>438</v>
      </c>
      <c r="I40" s="304"/>
      <c r="J40" s="304"/>
      <c r="K40" s="304"/>
    </row>
    <row r="41" spans="2:11" s="16" customFormat="1">
      <c r="B41" s="48" t="s">
        <v>242</v>
      </c>
      <c r="C41" s="62">
        <f t="shared" si="4"/>
        <v>7.7054517599999992E-4</v>
      </c>
      <c r="D41" s="62">
        <f t="shared" si="5"/>
        <v>3.3732399120000004E-3</v>
      </c>
      <c r="E41" s="82">
        <v>4.0090799999999999E-3</v>
      </c>
      <c r="F41" s="52" t="s">
        <v>245</v>
      </c>
      <c r="G41" s="301" t="s">
        <v>438</v>
      </c>
      <c r="I41" s="304"/>
      <c r="J41" s="304"/>
      <c r="K41" s="304"/>
    </row>
    <row r="42" spans="2:11" s="16" customFormat="1">
      <c r="B42" s="48" t="s">
        <v>243</v>
      </c>
      <c r="C42" s="62">
        <f t="shared" si="4"/>
        <v>2.2752203549999997E-5</v>
      </c>
      <c r="D42" s="62">
        <f t="shared" si="5"/>
        <v>9.9603038850000014E-5</v>
      </c>
      <c r="E42" s="82">
        <v>1.1837774999999999E-4</v>
      </c>
      <c r="F42" s="52" t="s">
        <v>245</v>
      </c>
      <c r="G42" s="301" t="s">
        <v>438</v>
      </c>
      <c r="I42" s="304"/>
      <c r="J42" s="304"/>
      <c r="K42" s="304"/>
    </row>
    <row r="43" spans="2:11" s="16" customFormat="1">
      <c r="B43" s="48" t="s">
        <v>244</v>
      </c>
      <c r="C43" s="62">
        <f t="shared" si="4"/>
        <v>8.7297239999999998E-2</v>
      </c>
      <c r="D43" s="62">
        <f t="shared" si="5"/>
        <v>0.38216388000000007</v>
      </c>
      <c r="E43" s="82">
        <v>0.45419999999999999</v>
      </c>
      <c r="F43" s="52" t="s">
        <v>245</v>
      </c>
      <c r="G43" s="301" t="s">
        <v>438</v>
      </c>
      <c r="I43" s="304"/>
      <c r="J43" s="304"/>
      <c r="K43" s="304"/>
    </row>
    <row r="44" spans="2:11" s="16" customFormat="1">
      <c r="B44" s="48"/>
      <c r="C44" s="62"/>
      <c r="D44" s="62"/>
      <c r="E44" s="82"/>
      <c r="F44" s="52"/>
      <c r="G44" s="301"/>
      <c r="I44" s="304"/>
      <c r="J44" s="304"/>
      <c r="K44" s="304"/>
    </row>
    <row r="45" spans="2:11" s="16" customFormat="1">
      <c r="B45" s="43" t="s">
        <v>44</v>
      </c>
      <c r="C45" s="44"/>
      <c r="D45" s="68"/>
      <c r="E45" s="69"/>
      <c r="F45" s="46"/>
      <c r="G45" s="300"/>
      <c r="I45" s="304"/>
      <c r="J45" s="304"/>
      <c r="K45" s="304"/>
    </row>
    <row r="46" spans="2:11" s="16" customFormat="1" ht="14.25">
      <c r="B46" s="70" t="s">
        <v>150</v>
      </c>
      <c r="C46" s="71">
        <f>D46/$C$12*2000</f>
        <v>1133869.3431558644</v>
      </c>
      <c r="D46" s="72">
        <f>E46*C14</f>
        <v>4966347.7230226863</v>
      </c>
      <c r="E46" s="586">
        <f>SUM('ET GHG EFs'!W13:W17,'ET GHG EFs'!W23,'ET GHG EFs'!W25,'ET GHG EFs'!W29,'ET GHG EFs'!W31,'ET GHG EFs'!W37)</f>
        <v>1.4322560124074077</v>
      </c>
      <c r="F46" s="52" t="s">
        <v>737</v>
      </c>
      <c r="G46" s="314" t="s">
        <v>736</v>
      </c>
      <c r="I46" s="304"/>
      <c r="J46" s="304"/>
      <c r="K46" s="304"/>
    </row>
    <row r="47" spans="2:11" s="16" customFormat="1" ht="14.25">
      <c r="B47" s="70" t="s">
        <v>151</v>
      </c>
      <c r="C47" s="49">
        <v>0</v>
      </c>
      <c r="D47" s="72">
        <v>0</v>
      </c>
      <c r="E47" s="647" t="s">
        <v>21</v>
      </c>
      <c r="F47" s="578" t="s">
        <v>21</v>
      </c>
      <c r="G47" s="314" t="s">
        <v>734</v>
      </c>
      <c r="I47" s="304"/>
      <c r="J47" s="304"/>
      <c r="K47" s="304"/>
    </row>
    <row r="48" spans="2:11" s="16" customFormat="1" ht="14.25">
      <c r="B48" s="70" t="s">
        <v>152</v>
      </c>
      <c r="C48" s="49">
        <v>0</v>
      </c>
      <c r="D48" s="72">
        <v>0</v>
      </c>
      <c r="E48" s="647" t="s">
        <v>21</v>
      </c>
      <c r="F48" s="578" t="s">
        <v>21</v>
      </c>
      <c r="G48" s="314" t="s">
        <v>735</v>
      </c>
      <c r="I48" s="304"/>
      <c r="J48" s="304"/>
      <c r="K48" s="304"/>
    </row>
    <row r="49" spans="2:11" s="16" customFormat="1" ht="15" thickBot="1">
      <c r="B49" s="581" t="s">
        <v>153</v>
      </c>
      <c r="C49" s="582">
        <f>D49/$C$12*2000</f>
        <v>1133869.3431558644</v>
      </c>
      <c r="D49" s="583">
        <f>D46*'Key Inputs'!$C$62+D47*'Key Inputs'!$C$63+D48*'Key Inputs'!$C$64</f>
        <v>4966347.7230226863</v>
      </c>
      <c r="E49" s="584" t="s">
        <v>46</v>
      </c>
      <c r="F49" s="585" t="s">
        <v>46</v>
      </c>
      <c r="G49" s="299" t="s">
        <v>47</v>
      </c>
      <c r="I49" s="304"/>
      <c r="J49" s="304"/>
      <c r="K49" s="304"/>
    </row>
  </sheetData>
  <mergeCells count="1">
    <mergeCell ref="I28:U30"/>
  </mergeCells>
  <pageMargins left="0.2" right="0.2" top="0.25" bottom="0.25" header="0.05" footer="0.05"/>
  <pageSetup scale="75" fitToWidth="0"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671B667B948E4DA169620410FBB583" ma:contentTypeVersion="6" ma:contentTypeDescription="Create a new document." ma:contentTypeScope="" ma:versionID="984ead1723d0fc0470b5767356c8a03d">
  <xsd:schema xmlns:xsd="http://www.w3.org/2001/XMLSchema" xmlns:xs="http://www.w3.org/2001/XMLSchema" xmlns:p="http://schemas.microsoft.com/office/2006/metadata/properties" xmlns:ns2="157bb656-fed6-4ead-9ce6-975c92a54292" xmlns:ns3="3f94263a-20bb-431b-b9e8-fae38d083436" targetNamespace="http://schemas.microsoft.com/office/2006/metadata/properties" ma:root="true" ma:fieldsID="bec145096a20162d4eee8fb99a5be049" ns2:_="" ns3:_="">
    <xsd:import namespace="157bb656-fed6-4ead-9ce6-975c92a54292"/>
    <xsd:import namespace="3f94263a-20bb-431b-b9e8-fae38d08343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7bb656-fed6-4ead-9ce6-975c92a542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94263a-20bb-431b-b9e8-fae38d08343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1108D5-5F90-43FE-A22A-2BBAD3F23E93}">
  <ds:schemaRefs>
    <ds:schemaRef ds:uri="http://schemas.microsoft.com/sharepoint/v3/contenttype/forms"/>
  </ds:schemaRefs>
</ds:datastoreItem>
</file>

<file path=customXml/itemProps2.xml><?xml version="1.0" encoding="utf-8"?>
<ds:datastoreItem xmlns:ds="http://schemas.openxmlformats.org/officeDocument/2006/customXml" ds:itemID="{F69E21A1-3B12-4694-8027-B084936B5B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7bb656-fed6-4ead-9ce6-975c92a54292"/>
    <ds:schemaRef ds:uri="3f94263a-20bb-431b-b9e8-fae38d0834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4F01B2-A16B-4872-B76A-09A6715E728E}">
  <ds:schemaRefs>
    <ds:schemaRef ds:uri="http://purl.org/dc/terms/"/>
    <ds:schemaRef ds:uri="http://schemas.microsoft.com/office/infopath/2007/PartnerControls"/>
    <ds:schemaRef ds:uri="http://purl.org/dc/dcmitype/"/>
    <ds:schemaRef ds:uri="http://purl.org/dc/elements/1.1/"/>
    <ds:schemaRef ds:uri="http://schemas.openxmlformats.org/package/2006/metadata/core-properties"/>
    <ds:schemaRef ds:uri="http://schemas.microsoft.com/office/2006/documentManagement/types"/>
    <ds:schemaRef ds:uri="157bb656-fed6-4ead-9ce6-975c92a54292"/>
    <ds:schemaRef ds:uri="3f94263a-20bb-431b-b9e8-fae38d08343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32</vt:i4>
      </vt:variant>
    </vt:vector>
  </HeadingPairs>
  <TitlesOfParts>
    <vt:vector size="62" baseType="lpstr">
      <vt:lpstr>Key Inputs</vt:lpstr>
      <vt:lpstr>1. Blast Furnace #1 (P001a)</vt:lpstr>
      <vt:lpstr>2. BF #1 Stoves (P001b)</vt:lpstr>
      <vt:lpstr>3. BFG Flare (P001c)</vt:lpstr>
      <vt:lpstr>4. Blast Furnace #3 (P002a)</vt:lpstr>
      <vt:lpstr>5. BF #3 Stoves (P002b)</vt:lpstr>
      <vt:lpstr>6. BOP Mixer BH (P003-1,2,3,4)</vt:lpstr>
      <vt:lpstr>7. BOP SEC BH (P003-5,6,8)</vt:lpstr>
      <vt:lpstr>8. BOP Scrubber (P003-7 &amp; 9)</vt:lpstr>
      <vt:lpstr>9. BOP Flux Handling (P003-10)</vt:lpstr>
      <vt:lpstr>10. BOP Combustion (P003-11)</vt:lpstr>
      <vt:lpstr>11. LMF (P004)</vt:lpstr>
      <vt:lpstr>12. Caster (P005)</vt:lpstr>
      <vt:lpstr>13. Vacuum Degasser (P006)</vt:lpstr>
      <vt:lpstr>14. Boilers 1-3 (B001-003)</vt:lpstr>
      <vt:lpstr>15. BF Slag Pits (F001)</vt:lpstr>
      <vt:lpstr>16. Plant Roads (F002)</vt:lpstr>
      <vt:lpstr>17. Cooling Towers</vt:lpstr>
      <vt:lpstr>Sheet1</vt:lpstr>
      <vt:lpstr>18. BF Misc. Fugitives</vt:lpstr>
      <vt:lpstr>19. BOP Misc. Fugitives</vt:lpstr>
      <vt:lpstr>20. Storage Piles</vt:lpstr>
      <vt:lpstr>21. Paints &amp; Solvents</vt:lpstr>
      <vt:lpstr>22. Misc. NG Combustion</vt:lpstr>
      <vt:lpstr>23. Emergency Generators</vt:lpstr>
      <vt:lpstr>A. Source Summary</vt:lpstr>
      <vt:lpstr>B. Site-wide Summary</vt:lpstr>
      <vt:lpstr>Reference--&gt;</vt:lpstr>
      <vt:lpstr>EF Dev Tests</vt:lpstr>
      <vt:lpstr>ET GHG EFs</vt:lpstr>
      <vt:lpstr>FactorASummaryWeightedMultiforeCognos_List1_List1_1</vt:lpstr>
      <vt:lpstr>'1. Blast Furnace #1 (P001a)'!Print_Area</vt:lpstr>
      <vt:lpstr>'10. BOP Combustion (P003-11)'!Print_Area</vt:lpstr>
      <vt:lpstr>'11. LMF (P004)'!Print_Area</vt:lpstr>
      <vt:lpstr>'12. Caster (P005)'!Print_Area</vt:lpstr>
      <vt:lpstr>'13. Vacuum Degasser (P006)'!Print_Area</vt:lpstr>
      <vt:lpstr>'14. Boilers 1-3 (B001-003)'!Print_Area</vt:lpstr>
      <vt:lpstr>'15. BF Slag Pits (F001)'!Print_Area</vt:lpstr>
      <vt:lpstr>'16. Plant Roads (F002)'!Print_Area</vt:lpstr>
      <vt:lpstr>'17. Cooling Towers'!Print_Area</vt:lpstr>
      <vt:lpstr>'18. BF Misc. Fugitives'!Print_Area</vt:lpstr>
      <vt:lpstr>'19. BOP Misc. Fugitives'!Print_Area</vt:lpstr>
      <vt:lpstr>'2. BF #1 Stoves (P001b)'!Print_Area</vt:lpstr>
      <vt:lpstr>'20. Storage Piles'!Print_Area</vt:lpstr>
      <vt:lpstr>'21. Paints &amp; Solvents'!Print_Area</vt:lpstr>
      <vt:lpstr>'22. Misc. NG Combustion'!Print_Area</vt:lpstr>
      <vt:lpstr>'23. Emergency Generators'!Print_Area</vt:lpstr>
      <vt:lpstr>'3. BFG Flare (P001c)'!Print_Area</vt:lpstr>
      <vt:lpstr>'4. Blast Furnace #3 (P002a)'!Print_Area</vt:lpstr>
      <vt:lpstr>'5. BF #3 Stoves (P002b)'!Print_Area</vt:lpstr>
      <vt:lpstr>'6. BOP Mixer BH (P003-1,2,3,4)'!Print_Area</vt:lpstr>
      <vt:lpstr>'7. BOP SEC BH (P003-5,6,8)'!Print_Area</vt:lpstr>
      <vt:lpstr>'8. BOP Scrubber (P003-7 &amp; 9)'!Print_Area</vt:lpstr>
      <vt:lpstr>'9. BOP Flux Handling (P003-10)'!Print_Area</vt:lpstr>
      <vt:lpstr>'A. Source Summary'!Print_Area</vt:lpstr>
      <vt:lpstr>'B. Site-wide Summary'!Print_Area</vt:lpstr>
      <vt:lpstr>'Key Inputs'!Print_Area</vt:lpstr>
      <vt:lpstr>'1. Blast Furnace #1 (P001a)'!Print_Titles</vt:lpstr>
      <vt:lpstr>'14. Boilers 1-3 (B001-003)'!Print_Titles</vt:lpstr>
      <vt:lpstr>'2. BF #1 Stoves (P001b)'!Print_Titles</vt:lpstr>
      <vt:lpstr>'5. BF #3 Stoves (P002b)'!Print_Titles</vt:lpstr>
      <vt:lpstr>'A. Source Summary'!Print_Titles</vt:lpstr>
    </vt:vector>
  </TitlesOfParts>
  <Company>Trinity Consultants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CWilson</dc:creator>
  <cp:lastModifiedBy>Ajenifuja, Hafeez</cp:lastModifiedBy>
  <cp:lastPrinted>2016-02-16T23:48:29Z</cp:lastPrinted>
  <dcterms:created xsi:type="dcterms:W3CDTF">2015-05-19T18:50:23Z</dcterms:created>
  <dcterms:modified xsi:type="dcterms:W3CDTF">2023-02-07T19:33:46Z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0x010100EB671B667B948E4DA169620410FBB583</vt:lpwstr>
  </property>
</Properties>
</file>